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G1205\Desktop\"/>
    </mc:Choice>
  </mc:AlternateContent>
  <bookViews>
    <workbookView xWindow="0" yWindow="0" windowWidth="19200" windowHeight="7050" tabRatio="658" firstSheet="1" activeTab="1"/>
  </bookViews>
  <sheets>
    <sheet name="COMERCIAL(nouso)" sheetId="7" state="hidden" r:id="rId1"/>
    <sheet name="Préstamos" sheetId="8" r:id="rId2"/>
    <sheet name="DPF" sheetId="5" r:id="rId3"/>
    <sheet name="Premisas" sheetId="4" state="hidden" r:id="rId4"/>
    <sheet name="Tabla de Penalización DPF" sheetId="6" state="hidden" r:id="rId5"/>
    <sheet name="Listados" sheetId="9" state="hidden" r:id="rId6"/>
  </sheets>
  <definedNames>
    <definedName name="_xlnm.Print_Area" localSheetId="0">'COMERCIAL(nouso)'!$A$1:$D$29</definedName>
    <definedName name="_xlnm.Print_Area" localSheetId="2">DPF!$A$1:$I$72</definedName>
    <definedName name="_xlnm.Print_Area" localSheetId="1">Préstamos!$A$1:$M$41</definedName>
    <definedName name="_xlnm.Print_Area" localSheetId="4">'Tabla de Penalización DPF'!$B$1:$M$54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8" l="1"/>
  <c r="G32" i="8" s="1"/>
  <c r="B32" i="8" l="1"/>
  <c r="F29" i="8" l="1"/>
  <c r="E32" i="5" l="1"/>
  <c r="B32" i="5"/>
  <c r="B27" i="5"/>
  <c r="B25" i="5"/>
  <c r="B18" i="5"/>
  <c r="G47" i="6" l="1"/>
  <c r="G46" i="6"/>
  <c r="G45" i="6"/>
  <c r="I19" i="4" l="1"/>
  <c r="I107" i="4" l="1"/>
  <c r="I112" i="4"/>
  <c r="A101" i="4"/>
  <c r="I111" i="4"/>
  <c r="I110" i="4"/>
  <c r="A110" i="4" l="1"/>
  <c r="A119" i="4"/>
  <c r="A122" i="4" s="1"/>
  <c r="A104" i="4"/>
  <c r="A107" i="4" s="1"/>
  <c r="A113" i="4" l="1"/>
  <c r="A116" i="4" s="1"/>
  <c r="C20" i="7" l="1"/>
  <c r="C21" i="7" l="1"/>
  <c r="C22" i="7" s="1"/>
  <c r="C68" i="5" l="1"/>
  <c r="C70" i="5" s="1"/>
  <c r="H8" i="5" l="1"/>
  <c r="E29" i="5"/>
  <c r="G39" i="6" l="1"/>
  <c r="G38" i="6"/>
  <c r="G36" i="6"/>
  <c r="G35" i="6"/>
  <c r="G40" i="6"/>
  <c r="G37" i="6" l="1"/>
  <c r="D50" i="6" s="1"/>
  <c r="G50" i="6" l="1"/>
  <c r="I44" i="4"/>
  <c r="A47" i="4" s="1"/>
  <c r="I48" i="4"/>
  <c r="I47" i="4"/>
  <c r="I49" i="4" s="1"/>
  <c r="A38" i="4"/>
  <c r="A13" i="4"/>
  <c r="A16" i="4" s="1"/>
  <c r="A44" i="4" s="1"/>
  <c r="A41" i="4" l="1"/>
  <c r="A50" i="4" s="1"/>
  <c r="A53" i="4" s="1"/>
  <c r="A56" i="4"/>
  <c r="A59" i="4" s="1"/>
  <c r="G48" i="6"/>
  <c r="I12" i="6"/>
  <c r="A19" i="4"/>
  <c r="I22" i="4"/>
  <c r="I24" i="4" s="1"/>
  <c r="I23" i="4"/>
  <c r="A31" i="4" s="1"/>
  <c r="A34" i="4" s="1"/>
  <c r="J12" i="6" l="1"/>
  <c r="E34" i="5"/>
  <c r="E35" i="5" s="1"/>
  <c r="A22" i="4"/>
  <c r="A25" i="4" s="1"/>
  <c r="A28" i="4" s="1"/>
  <c r="G51" i="6"/>
  <c r="G52" i="6" s="1"/>
  <c r="G49" i="6"/>
  <c r="E37" i="5" l="1"/>
</calcChain>
</file>

<file path=xl/sharedStrings.xml><?xml version="1.0" encoding="utf-8"?>
<sst xmlns="http://schemas.openxmlformats.org/spreadsheetml/2006/main" count="236" uniqueCount="152">
  <si>
    <t>Plazo (meses)</t>
  </si>
  <si>
    <t>Tipo de Préstamo</t>
  </si>
  <si>
    <t>HIPOTECARIO</t>
  </si>
  <si>
    <t>Número de Préstamo</t>
  </si>
  <si>
    <t>Firma del Cliente</t>
  </si>
  <si>
    <t>________________________________</t>
  </si>
  <si>
    <t>Porcentaje del monto total del prestamo que es penalizado por pagos anticipados</t>
  </si>
  <si>
    <t>Plazo trascurrido De 00 a 12 meses</t>
  </si>
  <si>
    <t xml:space="preserve">Plazo trascurrido De 13 a 24 meses </t>
  </si>
  <si>
    <t>Préstamos de personales y de vehículo</t>
  </si>
  <si>
    <t>Préstamos hipotecarios</t>
  </si>
  <si>
    <t>Fecha de Desembolso</t>
  </si>
  <si>
    <t>Fecha del Pago</t>
  </si>
  <si>
    <t>Capital Restante del Préstamo a la fecha</t>
  </si>
  <si>
    <t>Nombre del Cliente</t>
  </si>
  <si>
    <t>www.banesco.com.do</t>
  </si>
  <si>
    <t>RNC No. 1-30-700028</t>
  </si>
  <si>
    <t>Tipo de pago</t>
  </si>
  <si>
    <t>Fecha de contratos que poseen clausulas</t>
  </si>
  <si>
    <t>Aplica Abono Comisión por Fecha 1-Abril-2018</t>
  </si>
  <si>
    <t>Aplica Abono Comisión por 15% de Capital Adeudado</t>
  </si>
  <si>
    <t>Aplica Abono Comisión por Fecha,  15% Capital Adeudado y Tiempo Transcurrido</t>
  </si>
  <si>
    <t>12 meses</t>
  </si>
  <si>
    <t>24 meses</t>
  </si>
  <si>
    <t>Aplica Abono Comisión por Tiempo Transcurrido Mayor a 24 Meses del Desembolso</t>
  </si>
  <si>
    <t>Dias transcurridos</t>
  </si>
  <si>
    <t>Equivalencia meses a dias</t>
  </si>
  <si>
    <t>% Aplicación Abono de Comisión por Fecha,  15% Capital Adeudado y Tiempo Transcurrido</t>
  </si>
  <si>
    <t>Aplica Cancelación Comisión por Tiempo Transcurrido</t>
  </si>
  <si>
    <t>% Aplicación Cancelación Comisión por Tiempo Transcurrido</t>
  </si>
  <si>
    <t>13 meses</t>
  </si>
  <si>
    <t>PERSONALES Y DE VEHÍCULOS</t>
  </si>
  <si>
    <t>DOP</t>
  </si>
  <si>
    <t>USD</t>
  </si>
  <si>
    <t>COMISIÓN POR PRE-CANCELACIÓN DEPÓSITO PLAZO FIJO</t>
  </si>
  <si>
    <t>Elegir</t>
  </si>
  <si>
    <t>Crédito a cuenta</t>
  </si>
  <si>
    <t>Cheque de administración</t>
  </si>
  <si>
    <t xml:space="preserve">Fecha: </t>
  </si>
  <si>
    <t xml:space="preserve">Número del Cliente </t>
  </si>
  <si>
    <t>Nùmero de Certificado</t>
  </si>
  <si>
    <t>CONDICIONES DPF</t>
  </si>
  <si>
    <t>Monto de Apertura</t>
  </si>
  <si>
    <t>Plazo al momento de cancelación (dias transcurridos)</t>
  </si>
  <si>
    <t>Tasa de Interés</t>
  </si>
  <si>
    <t xml:space="preserve">Monto Neto a Pagar </t>
  </si>
  <si>
    <t>Forma de Entrega:</t>
  </si>
  <si>
    <t xml:space="preserve">Cuenta (si aplica): </t>
  </si>
  <si>
    <t>Observaciones:</t>
  </si>
  <si>
    <t xml:space="preserve">PARA USO INTERNO </t>
  </si>
  <si>
    <t xml:space="preserve">Cuenta contable a acreditar comisión: </t>
  </si>
  <si>
    <t xml:space="preserve">Moneda: </t>
  </si>
  <si>
    <t xml:space="preserve">Cuenta: </t>
  </si>
  <si>
    <t>Comisión por Pre-Cancelación DPF</t>
  </si>
  <si>
    <t>Tabla Rango de Días Restantes</t>
  </si>
  <si>
    <t>Comisión sobre Intereses Acumulados</t>
  </si>
  <si>
    <t>Rango de Días Restantes / Plazo del DPF</t>
  </si>
  <si>
    <t>1.</t>
  </si>
  <si>
    <t>-</t>
  </si>
  <si>
    <t>2.</t>
  </si>
  <si>
    <t>3.</t>
  </si>
  <si>
    <t>4.</t>
  </si>
  <si>
    <t>Condiciones del DPF</t>
  </si>
  <si>
    <t>A</t>
  </si>
  <si>
    <t>B</t>
  </si>
  <si>
    <t>Plazo Original</t>
  </si>
  <si>
    <t>C</t>
  </si>
  <si>
    <t>Plazo al momento de cancelación</t>
  </si>
  <si>
    <t>D</t>
  </si>
  <si>
    <t>Moneda</t>
  </si>
  <si>
    <t>Cuenta contable a acreditar comisión</t>
  </si>
  <si>
    <t>Comisión Aplicable</t>
  </si>
  <si>
    <t>Formula</t>
  </si>
  <si>
    <t>E</t>
  </si>
  <si>
    <t>Días Restantes</t>
  </si>
  <si>
    <t>= (B - C)</t>
  </si>
  <si>
    <t>Elegir..</t>
  </si>
  <si>
    <t>F</t>
  </si>
  <si>
    <t>Días Restantes / Plazo</t>
  </si>
  <si>
    <t>= (E / B)</t>
  </si>
  <si>
    <t xml:space="preserve">Cheque de Administración  </t>
  </si>
  <si>
    <t>G</t>
  </si>
  <si>
    <t>Rango</t>
  </si>
  <si>
    <t xml:space="preserve">Crédito a Cuenta </t>
  </si>
  <si>
    <t>H</t>
  </si>
  <si>
    <t>Monto de Comisión</t>
  </si>
  <si>
    <t>I</t>
  </si>
  <si>
    <t>Tasa de Interés Efectiva</t>
  </si>
  <si>
    <t>= (1 - H) * D</t>
  </si>
  <si>
    <t>J</t>
  </si>
  <si>
    <t>K</t>
  </si>
  <si>
    <t>Comisión por pre-cancelación aplicable</t>
  </si>
  <si>
    <t>= (J * H)</t>
  </si>
  <si>
    <t xml:space="preserve">Monto neto a pagar </t>
  </si>
  <si>
    <t>= A + J - K</t>
  </si>
  <si>
    <t>Modalidad Pago de Intereses</t>
  </si>
  <si>
    <t>Capitalizado</t>
  </si>
  <si>
    <t>Moneda de la apertura</t>
  </si>
  <si>
    <t>Monto de penalidad</t>
  </si>
  <si>
    <t>% Penalidad aplicable</t>
  </si>
  <si>
    <t>¿EL DPF HA SIDO RENOVADO?</t>
  </si>
  <si>
    <t>Sí</t>
  </si>
  <si>
    <t>No</t>
  </si>
  <si>
    <t>Fecha de cancelación</t>
  </si>
  <si>
    <t>Saldo Actual del DPF</t>
  </si>
  <si>
    <t>Ejemplo Modificable Deposito a Cuenta</t>
  </si>
  <si>
    <t>Cálculo Automático Deposito a Cuenta</t>
  </si>
  <si>
    <t>Porcentaje de Dias Transcrridos</t>
  </si>
  <si>
    <t>Comisión Correspondiente sobre Intereses Acumulados</t>
  </si>
  <si>
    <t>Firma de Gerente/Subgerente de Sucursal o Ejecutivo de Banca Corporativa y Empresas</t>
  </si>
  <si>
    <t>Comisión por Cancelación Anticipada</t>
  </si>
  <si>
    <t>% Comisión</t>
  </si>
  <si>
    <t>Mes de Cancelación</t>
  </si>
  <si>
    <t>Nombre de Cliente</t>
  </si>
  <si>
    <t>COMERCIAL A CUOTA</t>
  </si>
  <si>
    <t>Si</t>
  </si>
  <si>
    <t xml:space="preserve">No </t>
  </si>
  <si>
    <t>Fecha de Actualización: 21-agosto-2022</t>
  </si>
  <si>
    <t>Plazo trascurrido De 00 a 36 meses</t>
  </si>
  <si>
    <t>36 meses</t>
  </si>
  <si>
    <t>Préstamos comerciales a cuotas</t>
  </si>
  <si>
    <t>RD$</t>
  </si>
  <si>
    <t>US$</t>
  </si>
  <si>
    <t xml:space="preserve">Solo cancelacion </t>
  </si>
  <si>
    <t>Fecha de Actualización: 02-junio-2025</t>
  </si>
  <si>
    <r>
      <rPr>
        <b/>
        <sz val="10"/>
        <color theme="6" tint="-0.499984740745262"/>
        <rFont val="Arial"/>
        <family val="2"/>
      </rPr>
      <t>Nota:</t>
    </r>
    <r>
      <rPr>
        <sz val="10"/>
        <color theme="6" tint="-0.499984740745262"/>
        <rFont val="Arial"/>
        <family val="2"/>
      </rPr>
      <t xml:space="preserve"> recuerda validar si el crédito fue aplazado o no. Si es un crédito aplazado, deberá considerar la proporción del seguro correspondiente a los tres (3) meses que estuvo aplazado. Esta información, podras confirmarla con la Gerencia Operaciones Activas y Pasivas antes de darle el valor final al cliente.</t>
    </r>
  </si>
  <si>
    <t>Moneda del Préstamo</t>
  </si>
  <si>
    <t>Seleccionar</t>
  </si>
  <si>
    <t>Plazo (Meses)</t>
  </si>
  <si>
    <t>Capital Restante del Préstamo a la Fecha</t>
  </si>
  <si>
    <t>Monto de Capital a Pagar</t>
  </si>
  <si>
    <t>Tiempo Restante para Vencimiento (Meses)</t>
  </si>
  <si>
    <t>¿Aplica proporción del seguro?</t>
  </si>
  <si>
    <t>Condición</t>
  </si>
  <si>
    <t>Consumo</t>
  </si>
  <si>
    <t>Hipotecario</t>
  </si>
  <si>
    <t>Comercial</t>
  </si>
  <si>
    <t>Tiempo</t>
  </si>
  <si>
    <t>Comisión</t>
  </si>
  <si>
    <t>Pago de Intereses</t>
  </si>
  <si>
    <t>Crédito a Cuenta</t>
  </si>
  <si>
    <t>Tipo de Operación</t>
  </si>
  <si>
    <t>Abono</t>
  </si>
  <si>
    <t>Reducción</t>
  </si>
  <si>
    <t>Cuota</t>
  </si>
  <si>
    <t>Plazo</t>
  </si>
  <si>
    <t>Pre-Cancelación</t>
  </si>
  <si>
    <t>Fecha de Actualización: 19-nov-2025</t>
  </si>
  <si>
    <t>Calculadora de Comisión Abono/Pre-Cancelación de Préstamo</t>
  </si>
  <si>
    <t>Firma</t>
  </si>
  <si>
    <t>Firma Gerente/Ejecutivo Negocios y Servicios</t>
  </si>
  <si>
    <t>Firma Gerente/Ejecutivo Banca Corporativa y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</si>
</sst>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  <numFmt numFmtId="165" formatCode="&quot;RD$&quot;#,##0.00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[$-409]d/mmm/yy;@"/>
    <numFmt numFmtId="170" formatCode="[$-409]d\-mmm\-yy;@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 Narrow"/>
      <family val="2"/>
    </font>
    <font>
      <sz val="8"/>
      <color theme="1"/>
      <name val="Helvetica Narrow"/>
      <family val="2"/>
    </font>
    <font>
      <sz val="8"/>
      <name val="Helvetica Narrow"/>
      <family val="2"/>
    </font>
    <font>
      <sz val="11"/>
      <color theme="1"/>
      <name val="Helvetica"/>
      <family val="2"/>
    </font>
    <font>
      <b/>
      <sz val="11"/>
      <color theme="0"/>
      <name val="Helvetica"/>
      <family val="2"/>
    </font>
    <font>
      <b/>
      <sz val="11"/>
      <color theme="1" tint="0.34998626667073579"/>
      <name val="Helvetica"/>
      <family val="2"/>
    </font>
    <font>
      <sz val="11"/>
      <color theme="1" tint="0.34998626667073579"/>
      <name val="Helvetica"/>
      <family val="2"/>
    </font>
    <font>
      <b/>
      <sz val="12"/>
      <color theme="1" tint="0.34998626667073579"/>
      <name val="Helvetica"/>
      <family val="2"/>
    </font>
    <font>
      <u/>
      <sz val="11"/>
      <color theme="10"/>
      <name val="Calibri"/>
      <family val="2"/>
      <scheme val="minor"/>
    </font>
    <font>
      <sz val="11"/>
      <color rgb="FF237A57"/>
      <name val="Helvetica"/>
      <family val="2"/>
    </font>
    <font>
      <u/>
      <sz val="11"/>
      <color rgb="FF237A57"/>
      <name val="Helvetica"/>
      <family val="2"/>
    </font>
    <font>
      <b/>
      <sz val="12"/>
      <color theme="0"/>
      <name val="Helvetica"/>
      <family val="2"/>
    </font>
    <font>
      <sz val="11"/>
      <color theme="0"/>
      <name val="Calibri"/>
      <family val="2"/>
      <scheme val="minor"/>
    </font>
    <font>
      <sz val="11"/>
      <color rgb="FF595959"/>
      <name val="Helvetica"/>
      <family val="2"/>
    </font>
    <font>
      <b/>
      <sz val="14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3"/>
      <color theme="0"/>
      <name val="Helvetica"/>
      <family val="2"/>
    </font>
    <font>
      <sz val="12"/>
      <color rgb="FFFF0000"/>
      <name val="Helvetica"/>
      <family val="2"/>
    </font>
    <font>
      <b/>
      <sz val="11"/>
      <color theme="1"/>
      <name val="Helvetica"/>
      <family val="2"/>
    </font>
    <font>
      <sz val="12"/>
      <color theme="0"/>
      <name val="Helvetica"/>
      <family val="2"/>
    </font>
    <font>
      <sz val="11"/>
      <color theme="0"/>
      <name val="Helvetica"/>
      <family val="2"/>
    </font>
    <font>
      <sz val="12"/>
      <color theme="1"/>
      <name val="Helvetica"/>
      <family val="2"/>
    </font>
    <font>
      <sz val="12"/>
      <name val="Helvetica"/>
      <family val="2"/>
    </font>
    <font>
      <b/>
      <sz val="12"/>
      <color rgb="FFFF0000"/>
      <name val="Helvetica"/>
      <family val="2"/>
    </font>
    <font>
      <sz val="11"/>
      <color rgb="FFFFC000"/>
      <name val="Helvetica"/>
      <family val="2"/>
    </font>
    <font>
      <sz val="12"/>
      <color rgb="FF595959"/>
      <name val="Helvetica"/>
      <family val="2"/>
    </font>
    <font>
      <b/>
      <sz val="12"/>
      <color rgb="FF595959"/>
      <name val="Helvetica"/>
      <family val="2"/>
    </font>
    <font>
      <sz val="12"/>
      <color rgb="FF595959"/>
      <name val="Helvetica"/>
      <family val="2"/>
    </font>
    <font>
      <b/>
      <sz val="12"/>
      <color rgb="FF595959"/>
      <name val="Helvetica"/>
      <family val="2"/>
    </font>
    <font>
      <b/>
      <sz val="14"/>
      <color rgb="FF595959"/>
      <name val="Helvetica"/>
      <family val="2"/>
    </font>
    <font>
      <sz val="12"/>
      <color theme="1" tint="0.34998626667073579"/>
      <name val="Helvetica"/>
      <family val="2"/>
    </font>
    <font>
      <b/>
      <sz val="14"/>
      <color rgb="FF10623F"/>
      <name val="Helvetica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rgb="FF525252"/>
      <name val="Arial"/>
      <family val="2"/>
    </font>
    <font>
      <b/>
      <sz val="20"/>
      <color rgb="FF0D6840"/>
      <name val="Arial"/>
      <family val="2"/>
    </font>
    <font>
      <b/>
      <sz val="14"/>
      <color rgb="FF0D6840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1"/>
      <color theme="0"/>
      <name val="Arial"/>
      <family val="2"/>
    </font>
    <font>
      <sz val="11"/>
      <color rgb="FF525252"/>
      <name val="Arial"/>
      <family val="2"/>
    </font>
    <font>
      <b/>
      <sz val="1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68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0623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95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0">
    <xf numFmtId="0" fontId="0" fillId="0" borderId="0" xfId="0"/>
    <xf numFmtId="9" fontId="0" fillId="0" borderId="0" xfId="0" applyNumberFormat="1"/>
    <xf numFmtId="10" fontId="0" fillId="0" borderId="0" xfId="0" applyNumberFormat="1"/>
    <xf numFmtId="0" fontId="2" fillId="0" borderId="0" xfId="0" applyFont="1" applyProtection="1"/>
    <xf numFmtId="0" fontId="6" fillId="3" borderId="0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right" indent="1"/>
    </xf>
    <xf numFmtId="0" fontId="12" fillId="0" borderId="0" xfId="2" applyFont="1" applyAlignment="1" applyProtection="1">
      <alignment horizontal="right" indent="1"/>
    </xf>
    <xf numFmtId="0" fontId="8" fillId="0" borderId="0" xfId="0" applyFont="1" applyBorder="1" applyProtection="1"/>
    <xf numFmtId="0" fontId="8" fillId="4" borderId="0" xfId="1" applyNumberFormat="1" applyFont="1" applyFill="1" applyBorder="1" applyAlignment="1" applyProtection="1">
      <alignment horizontal="center"/>
    </xf>
    <xf numFmtId="0" fontId="5" fillId="0" borderId="0" xfId="0" applyFont="1" applyProtection="1"/>
    <xf numFmtId="43" fontId="8" fillId="4" borderId="0" xfId="1" quotePrefix="1" applyFont="1" applyFill="1" applyBorder="1" applyAlignment="1" applyProtection="1">
      <alignment horizontal="center"/>
      <protection locked="0"/>
    </xf>
    <xf numFmtId="0" fontId="7" fillId="4" borderId="0" xfId="1" quotePrefix="1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14" fontId="0" fillId="0" borderId="0" xfId="0" applyNumberFormat="1"/>
    <xf numFmtId="0" fontId="0" fillId="0" borderId="0" xfId="0" applyNumberFormat="1"/>
    <xf numFmtId="14" fontId="14" fillId="3" borderId="0" xfId="0" applyNumberFormat="1" applyFont="1" applyFill="1"/>
    <xf numFmtId="0" fontId="0" fillId="0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9" fillId="0" borderId="0" xfId="0" applyFont="1" applyBorder="1" applyAlignment="1" applyProtection="1">
      <alignment horizontal="left" vertical="center"/>
    </xf>
    <xf numFmtId="167" fontId="15" fillId="8" borderId="0" xfId="1" applyNumberFormat="1" applyFont="1" applyFill="1" applyBorder="1" applyAlignment="1" applyProtection="1">
      <alignment horizontal="center"/>
      <protection locked="0"/>
    </xf>
    <xf numFmtId="0" fontId="15" fillId="0" borderId="0" xfId="0" applyFont="1" applyBorder="1" applyProtection="1"/>
    <xf numFmtId="0" fontId="15" fillId="0" borderId="0" xfId="0" applyFont="1" applyFill="1" applyBorder="1" applyProtection="1"/>
    <xf numFmtId="166" fontId="5" fillId="2" borderId="0" xfId="1" quotePrefix="1" applyNumberFormat="1" applyFont="1" applyFill="1" applyBorder="1" applyAlignment="1" applyProtection="1">
      <alignment horizontal="center"/>
    </xf>
    <xf numFmtId="14" fontId="2" fillId="0" borderId="0" xfId="0" applyNumberFormat="1" applyFont="1" applyProtection="1"/>
    <xf numFmtId="1" fontId="2" fillId="0" borderId="0" xfId="0" applyNumberFormat="1" applyFont="1" applyProtection="1"/>
    <xf numFmtId="0" fontId="2" fillId="0" borderId="0" xfId="0" applyNumberFormat="1" applyFont="1" applyProtection="1"/>
    <xf numFmtId="43" fontId="2" fillId="0" borderId="0" xfId="0" applyNumberFormat="1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Fill="1" applyProtection="1"/>
    <xf numFmtId="165" fontId="3" fillId="0" borderId="0" xfId="1" applyNumberFormat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165" fontId="4" fillId="0" borderId="0" xfId="1" applyNumberFormat="1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right"/>
    </xf>
    <xf numFmtId="0" fontId="8" fillId="0" borderId="0" xfId="0" applyFont="1" applyAlignment="1" applyProtection="1">
      <alignment horizontal="center" vertical="center" wrapText="1"/>
    </xf>
    <xf numFmtId="168" fontId="5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Protection="1"/>
    <xf numFmtId="0" fontId="5" fillId="0" borderId="0" xfId="0" applyFont="1" applyBorder="1" applyProtection="1"/>
    <xf numFmtId="0" fontId="16" fillId="0" borderId="0" xfId="0" applyFont="1" applyAlignment="1" applyProtection="1"/>
    <xf numFmtId="0" fontId="17" fillId="0" borderId="0" xfId="0" applyFont="1" applyBorder="1" applyProtection="1"/>
    <xf numFmtId="0" fontId="18" fillId="0" borderId="0" xfId="0" applyFont="1" applyBorder="1" applyProtection="1"/>
    <xf numFmtId="0" fontId="6" fillId="0" borderId="0" xfId="0" applyFont="1" applyFill="1" applyBorder="1" applyAlignment="1" applyProtection="1">
      <alignment vertical="center" wrapText="1"/>
    </xf>
    <xf numFmtId="0" fontId="5" fillId="0" borderId="0" xfId="0" applyFont="1" applyFill="1" applyProtection="1"/>
    <xf numFmtId="0" fontId="18" fillId="0" borderId="0" xfId="0" applyFont="1" applyFill="1" applyBorder="1" applyAlignment="1" applyProtection="1">
      <alignment horizontal="left" wrapText="1"/>
    </xf>
    <xf numFmtId="1" fontId="18" fillId="0" borderId="0" xfId="4" applyNumberFormat="1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left"/>
    </xf>
    <xf numFmtId="10" fontId="5" fillId="0" borderId="0" xfId="4" applyNumberFormat="1" applyFont="1" applyProtection="1"/>
    <xf numFmtId="0" fontId="18" fillId="0" borderId="0" xfId="0" applyFont="1" applyProtection="1"/>
    <xf numFmtId="0" fontId="17" fillId="0" borderId="0" xfId="0" applyFont="1" applyAlignment="1" applyProtection="1">
      <alignment horizontal="center"/>
    </xf>
    <xf numFmtId="0" fontId="21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0" xfId="0" applyFont="1" applyFill="1" applyBorder="1" applyProtection="1"/>
    <xf numFmtId="0" fontId="18" fillId="0" borderId="0" xfId="0" applyFont="1" applyFill="1" applyBorder="1" applyProtection="1"/>
    <xf numFmtId="0" fontId="18" fillId="0" borderId="0" xfId="0" applyFont="1" applyBorder="1" applyAlignment="1" applyProtection="1">
      <alignment horizontal="center"/>
    </xf>
    <xf numFmtId="1" fontId="18" fillId="0" borderId="0" xfId="0" applyNumberFormat="1" applyFont="1" applyProtection="1"/>
    <xf numFmtId="0" fontId="6" fillId="10" borderId="1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10" fontId="5" fillId="0" borderId="6" xfId="0" applyNumberFormat="1" applyFont="1" applyBorder="1" applyAlignment="1" applyProtection="1">
      <alignment horizontal="center"/>
    </xf>
    <xf numFmtId="10" fontId="5" fillId="0" borderId="0" xfId="0" applyNumberFormat="1" applyFont="1" applyFill="1" applyBorder="1" applyAlignment="1" applyProtection="1">
      <alignment horizontal="center"/>
    </xf>
    <xf numFmtId="0" fontId="5" fillId="0" borderId="1" xfId="0" quotePrefix="1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8" fontId="5" fillId="0" borderId="0" xfId="0" quotePrefix="1" applyNumberFormat="1" applyFont="1" applyBorder="1" applyAlignment="1" applyProtection="1">
      <alignment horizontal="center"/>
    </xf>
    <xf numFmtId="168" fontId="5" fillId="0" borderId="8" xfId="0" applyNumberFormat="1" applyFont="1" applyBorder="1" applyAlignment="1" applyProtection="1">
      <alignment horizontal="center"/>
    </xf>
    <xf numFmtId="10" fontId="5" fillId="0" borderId="7" xfId="0" applyNumberFormat="1" applyFont="1" applyBorder="1" applyAlignment="1" applyProtection="1">
      <alignment horizontal="center"/>
    </xf>
    <xf numFmtId="10" fontId="5" fillId="0" borderId="0" xfId="0" applyNumberFormat="1" applyFont="1" applyBorder="1" applyAlignment="1" applyProtection="1">
      <alignment horizontal="center"/>
    </xf>
    <xf numFmtId="10" fontId="5" fillId="0" borderId="8" xfId="0" applyNumberFormat="1" applyFont="1" applyBorder="1" applyAlignment="1" applyProtection="1">
      <alignment horizontal="center"/>
    </xf>
    <xf numFmtId="10" fontId="5" fillId="0" borderId="5" xfId="0" applyNumberFormat="1" applyFont="1" applyBorder="1" applyAlignment="1" applyProtection="1">
      <alignment horizontal="center"/>
    </xf>
    <xf numFmtId="0" fontId="5" fillId="0" borderId="2" xfId="0" quotePrefix="1" applyNumberFormat="1" applyFont="1" applyBorder="1" applyAlignment="1" applyProtection="1">
      <alignment horizontal="center"/>
    </xf>
    <xf numFmtId="168" fontId="5" fillId="0" borderId="5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0" fontId="5" fillId="0" borderId="9" xfId="0" applyNumberFormat="1" applyFont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vertical="center"/>
    </xf>
    <xf numFmtId="166" fontId="5" fillId="4" borderId="4" xfId="1" quotePrefix="1" applyNumberFormat="1" applyFont="1" applyFill="1" applyBorder="1" applyAlignment="1" applyProtection="1">
      <alignment horizontal="center"/>
    </xf>
    <xf numFmtId="0" fontId="5" fillId="4" borderId="4" xfId="1" applyNumberFormat="1" applyFont="1" applyFill="1" applyBorder="1" applyAlignment="1" applyProtection="1">
      <alignment horizont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10" fontId="5" fillId="4" borderId="4" xfId="4" applyNumberFormat="1" applyFont="1" applyFill="1" applyBorder="1" applyAlignment="1" applyProtection="1">
      <alignment horizontal="center"/>
    </xf>
    <xf numFmtId="1" fontId="5" fillId="4" borderId="4" xfId="4" applyNumberFormat="1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1" applyNumberFormat="1" applyFont="1" applyBorder="1" applyAlignment="1" applyProtection="1">
      <alignment horizontal="center"/>
    </xf>
    <xf numFmtId="10" fontId="5" fillId="0" borderId="4" xfId="4" applyNumberFormat="1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43" fontId="5" fillId="0" borderId="4" xfId="1" applyFont="1" applyBorder="1" applyAlignment="1" applyProtection="1">
      <alignment horizontal="center"/>
    </xf>
    <xf numFmtId="0" fontId="5" fillId="0" borderId="11" xfId="0" applyFont="1" applyFill="1" applyBorder="1" applyProtection="1"/>
    <xf numFmtId="43" fontId="21" fillId="0" borderId="4" xfId="0" applyNumberFormat="1" applyFont="1" applyFill="1" applyBorder="1" applyProtection="1"/>
    <xf numFmtId="0" fontId="22" fillId="0" borderId="0" xfId="0" applyFont="1" applyBorder="1" applyProtection="1"/>
    <xf numFmtId="0" fontId="5" fillId="0" borderId="0" xfId="0" applyFont="1" applyBorder="1" applyAlignment="1" applyProtection="1"/>
    <xf numFmtId="14" fontId="5" fillId="0" borderId="0" xfId="0" applyNumberFormat="1" applyFont="1" applyProtection="1"/>
    <xf numFmtId="44" fontId="5" fillId="0" borderId="0" xfId="3" applyFont="1" applyFill="1" applyProtection="1"/>
    <xf numFmtId="0" fontId="2" fillId="0" borderId="0" xfId="0" applyFont="1" applyProtection="1">
      <protection locked="0"/>
    </xf>
    <xf numFmtId="0" fontId="5" fillId="4" borderId="0" xfId="0" applyFont="1" applyFill="1" applyBorder="1" applyProtection="1"/>
    <xf numFmtId="0" fontId="24" fillId="4" borderId="0" xfId="0" applyFont="1" applyFill="1" applyBorder="1" applyAlignment="1" applyProtection="1">
      <alignment horizontal="center" vertical="center" wrapText="1"/>
    </xf>
    <xf numFmtId="10" fontId="25" fillId="4" borderId="0" xfId="0" applyNumberFormat="1" applyFont="1" applyFill="1" applyBorder="1" applyAlignment="1" applyProtection="1">
      <alignment horizontal="center" wrapText="1"/>
    </xf>
    <xf numFmtId="0" fontId="5" fillId="0" borderId="0" xfId="0" applyFont="1" applyFill="1" applyAlignment="1" applyProtection="1"/>
    <xf numFmtId="0" fontId="5" fillId="0" borderId="0" xfId="0" applyFont="1" applyAlignment="1" applyProtection="1"/>
    <xf numFmtId="0" fontId="26" fillId="4" borderId="0" xfId="0" applyFont="1" applyFill="1" applyBorder="1" applyAlignment="1" applyProtection="1">
      <alignment horizontal="left" vertical="center" wrapText="1"/>
    </xf>
    <xf numFmtId="0" fontId="27" fillId="0" borderId="0" xfId="0" applyFont="1" applyProtection="1"/>
    <xf numFmtId="43" fontId="13" fillId="5" borderId="0" xfId="1" applyFont="1" applyFill="1" applyBorder="1" applyAlignment="1" applyProtection="1">
      <alignment horizontal="left"/>
    </xf>
    <xf numFmtId="43" fontId="6" fillId="5" borderId="0" xfId="1" applyFont="1" applyFill="1" applyBorder="1" applyAlignment="1" applyProtection="1">
      <alignment horizontal="left"/>
    </xf>
    <xf numFmtId="0" fontId="23" fillId="5" borderId="0" xfId="0" applyFont="1" applyFill="1" applyProtection="1"/>
    <xf numFmtId="0" fontId="29" fillId="0" borderId="0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 wrapText="1"/>
    </xf>
    <xf numFmtId="10" fontId="30" fillId="0" borderId="8" xfId="4" applyNumberFormat="1" applyFont="1" applyFill="1" applyBorder="1" applyAlignment="1" applyProtection="1">
      <alignment horizontal="right"/>
      <protection locked="0"/>
    </xf>
    <xf numFmtId="43" fontId="30" fillId="0" borderId="8" xfId="1" quotePrefix="1" applyFont="1" applyFill="1" applyBorder="1" applyAlignment="1" applyProtection="1">
      <alignment horizontal="right"/>
      <protection locked="0"/>
    </xf>
    <xf numFmtId="0" fontId="30" fillId="0" borderId="8" xfId="1" applyNumberFormat="1" applyFont="1" applyFill="1" applyBorder="1" applyAlignment="1" applyProtection="1">
      <alignment horizontal="right"/>
      <protection locked="0"/>
    </xf>
    <xf numFmtId="10" fontId="30" fillId="0" borderId="9" xfId="4" applyNumberFormat="1" applyFont="1" applyFill="1" applyBorder="1" applyAlignment="1" applyProtection="1">
      <alignment horizontal="right"/>
      <protection locked="0"/>
    </xf>
    <xf numFmtId="0" fontId="31" fillId="0" borderId="0" xfId="0" applyFont="1" applyAlignment="1" applyProtection="1">
      <alignment horizontal="left"/>
    </xf>
    <xf numFmtId="0" fontId="31" fillId="0" borderId="0" xfId="0" applyFont="1" applyAlignment="1" applyProtection="1"/>
    <xf numFmtId="0" fontId="15" fillId="0" borderId="0" xfId="0" applyFont="1" applyFill="1" applyBorder="1" applyAlignment="1" applyProtection="1">
      <alignment horizontal="left"/>
    </xf>
    <xf numFmtId="0" fontId="31" fillId="0" borderId="0" xfId="0" applyFont="1" applyAlignment="1" applyProtection="1">
      <alignment horizontal="left" vertical="center" wrapText="1"/>
    </xf>
    <xf numFmtId="0" fontId="15" fillId="0" borderId="0" xfId="0" applyFont="1" applyProtection="1"/>
    <xf numFmtId="0" fontId="31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left"/>
    </xf>
    <xf numFmtId="0" fontId="31" fillId="0" borderId="0" xfId="0" applyFont="1" applyBorder="1" applyProtection="1"/>
    <xf numFmtId="0" fontId="30" fillId="0" borderId="0" xfId="0" applyFont="1" applyBorder="1" applyProtection="1"/>
    <xf numFmtId="0" fontId="13" fillId="5" borderId="0" xfId="0" applyFont="1" applyFill="1" applyAlignment="1" applyProtection="1">
      <alignment vertical="center"/>
    </xf>
    <xf numFmtId="0" fontId="7" fillId="0" borderId="0" xfId="0" applyFont="1" applyProtection="1"/>
    <xf numFmtId="0" fontId="9" fillId="0" borderId="0" xfId="0" applyFont="1" applyProtection="1"/>
    <xf numFmtId="0" fontId="33" fillId="0" borderId="0" xfId="0" applyFont="1" applyProtection="1"/>
    <xf numFmtId="10" fontId="33" fillId="0" borderId="0" xfId="4" applyNumberFormat="1" applyFont="1" applyFill="1" applyBorder="1" applyAlignment="1" applyProtection="1">
      <alignment horizontal="right"/>
    </xf>
    <xf numFmtId="0" fontId="8" fillId="4" borderId="0" xfId="0" applyFont="1" applyFill="1" applyBorder="1" applyAlignment="1" applyProtection="1">
      <alignment horizontal="right" vertical="center"/>
      <protection locked="0"/>
    </xf>
    <xf numFmtId="169" fontId="8" fillId="4" borderId="0" xfId="0" applyNumberFormat="1" applyFont="1" applyFill="1" applyBorder="1" applyAlignment="1" applyProtection="1">
      <alignment horizontal="right" vertical="center"/>
      <protection locked="0"/>
    </xf>
    <xf numFmtId="44" fontId="20" fillId="0" borderId="0" xfId="4" applyNumberFormat="1" applyFont="1" applyFill="1" applyBorder="1" applyAlignment="1" applyProtection="1">
      <alignment horizontal="right"/>
    </xf>
    <xf numFmtId="44" fontId="13" fillId="5" borderId="0" xfId="3" applyFont="1" applyFill="1" applyBorder="1" applyAlignment="1" applyProtection="1">
      <alignment horizontal="right"/>
    </xf>
    <xf numFmtId="0" fontId="33" fillId="4" borderId="0" xfId="0" applyFont="1" applyFill="1" applyBorder="1" applyAlignment="1" applyProtection="1">
      <alignment horizontal="right"/>
      <protection locked="0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5" fillId="0" borderId="0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left"/>
    </xf>
    <xf numFmtId="169" fontId="8" fillId="0" borderId="8" xfId="0" applyNumberFormat="1" applyFont="1" applyFill="1" applyBorder="1" applyAlignment="1" applyProtection="1">
      <alignment horizontal="right" vertical="center"/>
      <protection locked="0"/>
    </xf>
    <xf numFmtId="0" fontId="19" fillId="5" borderId="11" xfId="0" applyFont="1" applyFill="1" applyBorder="1" applyAlignment="1" applyProtection="1">
      <alignment vertical="center" wrapText="1"/>
    </xf>
    <xf numFmtId="0" fontId="19" fillId="5" borderId="10" xfId="0" applyFont="1" applyFill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left"/>
    </xf>
    <xf numFmtId="43" fontId="22" fillId="0" borderId="8" xfId="1" quotePrefix="1" applyFont="1" applyFill="1" applyBorder="1" applyAlignment="1" applyProtection="1">
      <alignment horizontal="right"/>
      <protection locked="0"/>
    </xf>
    <xf numFmtId="44" fontId="25" fillId="0" borderId="0" xfId="4" applyNumberFormat="1" applyFont="1" applyFill="1" applyBorder="1" applyAlignment="1" applyProtection="1">
      <alignment horizontal="right"/>
    </xf>
    <xf numFmtId="0" fontId="16" fillId="0" borderId="0" xfId="0" applyFont="1" applyAlignment="1" applyProtection="1">
      <alignment horizontal="center"/>
    </xf>
    <xf numFmtId="0" fontId="6" fillId="9" borderId="12" xfId="0" applyFont="1" applyFill="1" applyBorder="1" applyAlignment="1" applyProtection="1">
      <alignment horizontal="center" vertical="center" wrapText="1"/>
    </xf>
    <xf numFmtId="0" fontId="5" fillId="0" borderId="0" xfId="0" quotePrefix="1" applyNumberFormat="1" applyFont="1" applyBorder="1" applyAlignment="1" applyProtection="1">
      <alignment horizontal="center"/>
    </xf>
    <xf numFmtId="0" fontId="6" fillId="9" borderId="4" xfId="0" applyFont="1" applyFill="1" applyBorder="1" applyAlignment="1" applyProtection="1">
      <alignment horizontal="center" vertical="center" wrapText="1"/>
    </xf>
    <xf numFmtId="10" fontId="5" fillId="0" borderId="4" xfId="0" applyNumberFormat="1" applyFont="1" applyBorder="1" applyAlignment="1" applyProtection="1">
      <alignment horizontal="center"/>
    </xf>
    <xf numFmtId="0" fontId="22" fillId="0" borderId="0" xfId="0" applyFont="1" applyBorder="1" applyProtection="1">
      <protection locked="0"/>
    </xf>
    <xf numFmtId="170" fontId="15" fillId="8" borderId="0" xfId="1" applyNumberFormat="1" applyFont="1" applyFill="1" applyBorder="1" applyProtection="1">
      <protection locked="0"/>
    </xf>
    <xf numFmtId="0" fontId="15" fillId="8" borderId="0" xfId="1" applyNumberFormat="1" applyFont="1" applyFill="1" applyBorder="1" applyProtection="1"/>
    <xf numFmtId="0" fontId="23" fillId="2" borderId="0" xfId="0" applyFont="1" applyFill="1" applyBorder="1" applyProtection="1"/>
    <xf numFmtId="9" fontId="23" fillId="2" borderId="0" xfId="4" applyFont="1" applyFill="1" applyBorder="1" applyAlignment="1" applyProtection="1">
      <alignment horizontal="right"/>
    </xf>
    <xf numFmtId="0" fontId="35" fillId="0" borderId="0" xfId="0" applyFont="1" applyAlignment="1" applyProtection="1">
      <alignment horizontal="right" vertical="center"/>
    </xf>
    <xf numFmtId="0" fontId="14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44" fontId="13" fillId="5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167" fontId="30" fillId="11" borderId="8" xfId="1" applyNumberFormat="1" applyFont="1" applyFill="1" applyBorder="1" applyAlignment="1" applyProtection="1">
      <alignment horizontal="right" vertical="center"/>
    </xf>
    <xf numFmtId="15" fontId="9" fillId="11" borderId="0" xfId="0" applyNumberFormat="1" applyFont="1" applyFill="1" applyBorder="1" applyAlignment="1" applyProtection="1">
      <alignment horizontal="center"/>
    </xf>
    <xf numFmtId="44" fontId="33" fillId="11" borderId="12" xfId="4" applyNumberFormat="1" applyFont="1" applyFill="1" applyBorder="1" applyAlignment="1" applyProtection="1">
      <alignment horizontal="right" vertical="center"/>
    </xf>
    <xf numFmtId="10" fontId="20" fillId="11" borderId="0" xfId="0" applyNumberFormat="1" applyFont="1" applyFill="1" applyBorder="1" applyAlignment="1" applyProtection="1">
      <alignment horizontal="right" wrapText="1"/>
    </xf>
    <xf numFmtId="44" fontId="20" fillId="11" borderId="0" xfId="4" applyNumberFormat="1" applyFont="1" applyFill="1" applyBorder="1" applyAlignment="1" applyProtection="1">
      <alignment horizontal="right"/>
    </xf>
    <xf numFmtId="0" fontId="29" fillId="0" borderId="0" xfId="0" applyFont="1" applyAlignment="1" applyProtection="1"/>
    <xf numFmtId="0" fontId="37" fillId="0" borderId="0" xfId="0" applyFont="1" applyProtection="1"/>
    <xf numFmtId="0" fontId="0" fillId="0" borderId="0" xfId="0" applyProtection="1"/>
    <xf numFmtId="0" fontId="37" fillId="0" borderId="13" xfId="0" applyFont="1" applyBorder="1" applyProtection="1"/>
    <xf numFmtId="0" fontId="37" fillId="0" borderId="14" xfId="0" applyFont="1" applyBorder="1" applyProtection="1"/>
    <xf numFmtId="0" fontId="0" fillId="0" borderId="14" xfId="0" applyBorder="1" applyProtection="1"/>
    <xf numFmtId="0" fontId="37" fillId="0" borderId="16" xfId="0" applyFont="1" applyBorder="1" applyProtection="1"/>
    <xf numFmtId="0" fontId="37" fillId="0" borderId="0" xfId="0" applyFont="1" applyBorder="1" applyProtection="1"/>
    <xf numFmtId="0" fontId="37" fillId="0" borderId="17" xfId="0" applyFont="1" applyBorder="1" applyProtection="1"/>
    <xf numFmtId="0" fontId="0" fillId="0" borderId="0" xfId="0" applyBorder="1" applyProtection="1"/>
    <xf numFmtId="0" fontId="0" fillId="0" borderId="16" xfId="0" applyBorder="1" applyProtection="1"/>
    <xf numFmtId="0" fontId="37" fillId="0" borderId="0" xfId="0" applyFont="1" applyFill="1" applyProtection="1"/>
    <xf numFmtId="0" fontId="43" fillId="0" borderId="16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horizontal="left" vertical="center"/>
    </xf>
    <xf numFmtId="0" fontId="37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37" fillId="0" borderId="17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37" fillId="0" borderId="0" xfId="0" applyFont="1" applyFill="1" applyBorder="1" applyAlignment="1" applyProtection="1">
      <alignment horizontal="center"/>
    </xf>
    <xf numFmtId="0" fontId="37" fillId="0" borderId="17" xfId="0" applyFont="1" applyFill="1" applyBorder="1" applyAlignment="1" applyProtection="1">
      <alignment horizontal="center"/>
    </xf>
    <xf numFmtId="0" fontId="37" fillId="0" borderId="0" xfId="0" applyFont="1" applyFill="1" applyBorder="1" applyProtection="1"/>
    <xf numFmtId="0" fontId="37" fillId="0" borderId="18" xfId="0" applyFont="1" applyBorder="1" applyProtection="1"/>
    <xf numFmtId="0" fontId="37" fillId="0" borderId="19" xfId="0" applyFont="1" applyBorder="1" applyProtection="1"/>
    <xf numFmtId="0" fontId="37" fillId="0" borderId="20" xfId="0" applyFont="1" applyBorder="1" applyProtection="1"/>
    <xf numFmtId="0" fontId="0" fillId="13" borderId="21" xfId="0" applyFont="1" applyFill="1" applyBorder="1"/>
    <xf numFmtId="0" fontId="0" fillId="0" borderId="21" xfId="0" applyFont="1" applyBorder="1"/>
    <xf numFmtId="0" fontId="36" fillId="12" borderId="22" xfId="0" applyFont="1" applyFill="1" applyBorder="1"/>
    <xf numFmtId="0" fontId="0" fillId="13" borderId="23" xfId="0" applyFont="1" applyFill="1" applyBorder="1"/>
    <xf numFmtId="0" fontId="38" fillId="0" borderId="14" xfId="0" applyFont="1" applyBorder="1" applyAlignment="1" applyProtection="1">
      <alignment horizontal="right" vertical="center"/>
    </xf>
    <xf numFmtId="0" fontId="38" fillId="0" borderId="15" xfId="0" applyFont="1" applyBorder="1" applyAlignment="1" applyProtection="1">
      <alignment horizontal="right" vertical="center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17" xfId="0" applyFont="1" applyBorder="1" applyAlignment="1" applyProtection="1">
      <alignment horizontal="center" vertical="center" wrapText="1"/>
    </xf>
    <xf numFmtId="0" fontId="40" fillId="0" borderId="16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/>
    </xf>
    <xf numFmtId="0" fontId="41" fillId="0" borderId="16" xfId="0" applyFont="1" applyBorder="1" applyAlignment="1" applyProtection="1">
      <alignment horizontal="center" vertical="center" wrapText="1"/>
    </xf>
    <xf numFmtId="0" fontId="41" fillId="0" borderId="0" xfId="0" applyFont="1" applyBorder="1" applyAlignment="1" applyProtection="1">
      <alignment horizontal="center" vertical="center" wrapText="1"/>
    </xf>
    <xf numFmtId="0" fontId="41" fillId="0" borderId="17" xfId="0" applyFont="1" applyBorder="1" applyAlignment="1" applyProtection="1">
      <alignment horizontal="center" vertical="center" wrapText="1"/>
    </xf>
    <xf numFmtId="0" fontId="43" fillId="3" borderId="16" xfId="0" applyFont="1" applyFill="1" applyBorder="1" applyAlignment="1" applyProtection="1">
      <alignment horizontal="center" vertical="center"/>
    </xf>
    <xf numFmtId="0" fontId="43" fillId="3" borderId="0" xfId="0" applyFont="1" applyFill="1" applyBorder="1" applyAlignment="1" applyProtection="1">
      <alignment horizontal="center" vertical="center"/>
    </xf>
    <xf numFmtId="0" fontId="43" fillId="3" borderId="17" xfId="0" applyFont="1" applyFill="1" applyBorder="1" applyAlignment="1" applyProtection="1">
      <alignment horizontal="center" vertical="center"/>
    </xf>
    <xf numFmtId="0" fontId="44" fillId="8" borderId="16" xfId="0" applyFont="1" applyFill="1" applyBorder="1" applyAlignment="1" applyProtection="1">
      <alignment horizontal="center" vertical="center"/>
      <protection locked="0"/>
    </xf>
    <xf numFmtId="0" fontId="44" fillId="8" borderId="0" xfId="0" applyFont="1" applyFill="1" applyBorder="1" applyAlignment="1" applyProtection="1">
      <alignment horizontal="center" vertical="center"/>
      <protection locked="0"/>
    </xf>
    <xf numFmtId="0" fontId="44" fillId="8" borderId="17" xfId="0" applyFont="1" applyFill="1" applyBorder="1" applyAlignment="1" applyProtection="1">
      <alignment horizontal="center" vertical="center"/>
      <protection locked="0"/>
    </xf>
    <xf numFmtId="0" fontId="43" fillId="3" borderId="16" xfId="0" applyFont="1" applyFill="1" applyBorder="1" applyAlignment="1" applyProtection="1">
      <alignment horizontal="left" vertical="center"/>
    </xf>
    <xf numFmtId="0" fontId="43" fillId="3" borderId="0" xfId="0" applyFont="1" applyFill="1" applyBorder="1" applyAlignment="1" applyProtection="1">
      <alignment horizontal="left" vertical="center"/>
    </xf>
    <xf numFmtId="44" fontId="44" fillId="8" borderId="0" xfId="1" applyNumberFormat="1" applyFont="1" applyFill="1" applyBorder="1" applyAlignment="1" applyProtection="1">
      <alignment horizontal="right" vertical="center"/>
      <protection locked="0"/>
    </xf>
    <xf numFmtId="44" fontId="44" fillId="8" borderId="17" xfId="1" applyNumberFormat="1" applyFont="1" applyFill="1" applyBorder="1" applyAlignment="1" applyProtection="1">
      <alignment horizontal="right" vertical="center"/>
      <protection locked="0"/>
    </xf>
    <xf numFmtId="170" fontId="44" fillId="8" borderId="0" xfId="0" applyNumberFormat="1" applyFont="1" applyFill="1" applyBorder="1" applyAlignment="1" applyProtection="1">
      <alignment horizontal="center" vertical="center"/>
      <protection locked="0"/>
    </xf>
    <xf numFmtId="170" fontId="44" fillId="8" borderId="17" xfId="0" applyNumberFormat="1" applyFont="1" applyFill="1" applyBorder="1" applyAlignment="1" applyProtection="1">
      <alignment horizontal="center" vertical="center"/>
      <protection locked="0"/>
    </xf>
    <xf numFmtId="0" fontId="45" fillId="3" borderId="16" xfId="0" applyFont="1" applyFill="1" applyBorder="1" applyAlignment="1" applyProtection="1">
      <alignment horizontal="left" vertical="center"/>
    </xf>
    <xf numFmtId="0" fontId="45" fillId="3" borderId="0" xfId="0" applyFont="1" applyFill="1" applyBorder="1" applyAlignment="1" applyProtection="1">
      <alignment horizontal="left" vertical="center"/>
    </xf>
    <xf numFmtId="44" fontId="44" fillId="11" borderId="0" xfId="0" applyNumberFormat="1" applyFont="1" applyFill="1" applyBorder="1" applyAlignment="1" applyProtection="1">
      <alignment horizontal="center" vertical="center"/>
    </xf>
    <xf numFmtId="44" fontId="44" fillId="11" borderId="17" xfId="0" applyNumberFormat="1" applyFont="1" applyFill="1" applyBorder="1" applyAlignment="1" applyProtection="1">
      <alignment horizontal="center" vertical="center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0" fontId="44" fillId="0" borderId="16" xfId="0" applyFont="1" applyBorder="1" applyAlignment="1" applyProtection="1">
      <alignment horizontal="center" vertical="center" wrapText="1"/>
      <protection locked="0"/>
    </xf>
    <xf numFmtId="0" fontId="44" fillId="0" borderId="0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" vertical="center"/>
    </xf>
    <xf numFmtId="0" fontId="44" fillId="0" borderId="15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0" fontId="44" fillId="0" borderId="17" xfId="0" applyFont="1" applyBorder="1" applyAlignment="1" applyProtection="1">
      <alignment horizontal="center" vertical="center"/>
    </xf>
    <xf numFmtId="0" fontId="44" fillId="11" borderId="0" xfId="0" applyFont="1" applyFill="1" applyBorder="1" applyAlignment="1" applyProtection="1">
      <alignment horizontal="center" vertical="center"/>
    </xf>
    <xf numFmtId="0" fontId="44" fillId="11" borderId="17" xfId="0" applyFont="1" applyFill="1" applyBorder="1" applyAlignment="1" applyProtection="1">
      <alignment horizontal="center" vertical="center"/>
    </xf>
    <xf numFmtId="168" fontId="35" fillId="0" borderId="0" xfId="0" applyNumberFormat="1" applyFont="1" applyFill="1" applyBorder="1" applyAlignment="1" applyProtection="1">
      <alignment horizontal="right" vertical="center"/>
    </xf>
    <xf numFmtId="0" fontId="30" fillId="0" borderId="1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left"/>
    </xf>
    <xf numFmtId="0" fontId="34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9" fillId="4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/>
    </xf>
    <xf numFmtId="0" fontId="19" fillId="5" borderId="3" xfId="0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2" xfId="0" applyFont="1" applyFill="1" applyBorder="1" applyAlignment="1" applyProtection="1">
      <alignment horizontal="left"/>
    </xf>
    <xf numFmtId="0" fontId="30" fillId="0" borderId="5" xfId="0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3" fillId="0" borderId="0" xfId="0" applyFont="1" applyBorder="1" applyAlignment="1" applyProtection="1">
      <alignment horizontal="center"/>
    </xf>
    <xf numFmtId="1" fontId="33" fillId="11" borderId="0" xfId="4" applyNumberFormat="1" applyFont="1" applyFill="1" applyBorder="1" applyAlignment="1" applyProtection="1">
      <alignment horizontal="left"/>
    </xf>
    <xf numFmtId="0" fontId="21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6" fillId="5" borderId="0" xfId="0" applyFont="1" applyFill="1" applyAlignment="1" applyProtection="1">
      <alignment horizontal="center"/>
    </xf>
    <xf numFmtId="10" fontId="33" fillId="11" borderId="0" xfId="4" applyNumberFormat="1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top"/>
      <protection locked="0"/>
    </xf>
    <xf numFmtId="0" fontId="14" fillId="7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 applyProtection="1">
      <alignment horizontal="center"/>
    </xf>
    <xf numFmtId="0" fontId="6" fillId="9" borderId="0" xfId="0" applyFont="1" applyFill="1" applyBorder="1" applyAlignment="1" applyProtection="1">
      <alignment horizontal="center" vertical="center" wrapText="1"/>
    </xf>
    <xf numFmtId="0" fontId="6" fillId="9" borderId="11" xfId="0" applyFont="1" applyFill="1" applyBorder="1" applyAlignment="1" applyProtection="1">
      <alignment horizontal="center" vertical="center" wrapText="1"/>
    </xf>
    <xf numFmtId="0" fontId="6" fillId="9" borderId="10" xfId="0" applyFont="1" applyFill="1" applyBorder="1" applyAlignment="1" applyProtection="1">
      <alignment horizontal="center" vertical="center" wrapText="1"/>
    </xf>
    <xf numFmtId="0" fontId="6" fillId="9" borderId="12" xfId="0" applyFont="1" applyFill="1" applyBorder="1" applyAlignment="1" applyProtection="1">
      <alignment horizontal="center" vertical="center" wrapText="1"/>
    </xf>
    <xf numFmtId="0" fontId="5" fillId="0" borderId="0" xfId="0" quotePrefix="1" applyNumberFormat="1" applyFont="1" applyBorder="1" applyAlignment="1" applyProtection="1">
      <alignment horizontal="center"/>
    </xf>
    <xf numFmtId="0" fontId="6" fillId="9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 wrapText="1"/>
    </xf>
    <xf numFmtId="0" fontId="5" fillId="0" borderId="4" xfId="0" applyFont="1" applyBorder="1" applyAlignment="1" applyProtection="1">
      <alignment horizontal="left"/>
    </xf>
    <xf numFmtId="0" fontId="5" fillId="0" borderId="4" xfId="0" quotePrefix="1" applyFont="1" applyBorder="1" applyAlignment="1" applyProtection="1">
      <alignment horizontal="left"/>
    </xf>
    <xf numFmtId="43" fontId="21" fillId="0" borderId="11" xfId="1" applyFont="1" applyFill="1" applyBorder="1" applyAlignment="1" applyProtection="1">
      <alignment horizontal="center"/>
    </xf>
    <xf numFmtId="43" fontId="21" fillId="0" borderId="10" xfId="1" applyFont="1" applyFill="1" applyBorder="1" applyAlignment="1" applyProtection="1">
      <alignment horizontal="center"/>
    </xf>
    <xf numFmtId="43" fontId="21" fillId="0" borderId="12" xfId="1" applyFont="1" applyFill="1" applyBorder="1" applyAlignment="1" applyProtection="1">
      <alignment horizontal="center"/>
    </xf>
    <xf numFmtId="0" fontId="5" fillId="0" borderId="4" xfId="0" quotePrefix="1" applyFont="1" applyFill="1" applyBorder="1" applyAlignment="1" applyProtection="1">
      <alignment horizontal="left"/>
    </xf>
    <xf numFmtId="0" fontId="5" fillId="0" borderId="4" xfId="0" applyFont="1" applyBorder="1" applyAlignment="1" applyProtection="1">
      <alignment horizontal="left" wrapText="1"/>
    </xf>
    <xf numFmtId="2" fontId="44" fillId="11" borderId="0" xfId="0" applyNumberFormat="1" applyFont="1" applyFill="1" applyBorder="1" applyAlignment="1" applyProtection="1">
      <alignment horizontal="right" vertical="center"/>
    </xf>
    <xf numFmtId="2" fontId="44" fillId="11" borderId="17" xfId="0" applyNumberFormat="1" applyFont="1" applyFill="1" applyBorder="1" applyAlignment="1" applyProtection="1">
      <alignment horizontal="right" vertical="center"/>
    </xf>
  </cellXfs>
  <cellStyles count="5">
    <cellStyle name="Hipervínculo" xfId="2" builtinId="8"/>
    <cellStyle name="Millares" xfId="1" builtinId="3"/>
    <cellStyle name="Moneda" xfId="3" builtinId="4"/>
    <cellStyle name="Normal" xfId="0" builtinId="0"/>
    <cellStyle name="Porcentaje" xfId="4" builtinId="5"/>
  </cellStyles>
  <dxfs count="18"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13" formatCode="0%"/>
    </dxf>
    <dxf>
      <font>
        <color theme="1" tint="0.34998626667073579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7"/>
      <tableStyleElement type="headerRow" dxfId="16"/>
    </tableStyle>
  </tableStyles>
  <colors>
    <mruColors>
      <color rgb="FFBFBFBF"/>
      <color rgb="FF10623F"/>
      <color rgb="FF595959"/>
      <color rgb="FFD9D9D9"/>
      <color rgb="FF0D68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971098</xdr:colOff>
      <xdr:row>2</xdr:row>
      <xdr:rowOff>90721</xdr:rowOff>
    </xdr:from>
    <xdr:to>
      <xdr:col>2</xdr:col>
      <xdr:colOff>2791231</xdr:colOff>
      <xdr:row>5</xdr:row>
      <xdr:rowOff>119296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4241" y="458114"/>
          <a:ext cx="1820133" cy="5592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154522</xdr:rowOff>
    </xdr:from>
    <xdr:to>
      <xdr:col>2</xdr:col>
      <xdr:colOff>342900</xdr:colOff>
      <xdr:row>8</xdr:row>
      <xdr:rowOff>20091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522822"/>
          <a:ext cx="3346450" cy="970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6346</xdr:colOff>
      <xdr:row>3</xdr:row>
      <xdr:rowOff>6347</xdr:rowOff>
    </xdr:from>
    <xdr:to>
      <xdr:col>3</xdr:col>
      <xdr:colOff>712897</xdr:colOff>
      <xdr:row>6</xdr:row>
      <xdr:rowOff>155152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6" y="577847"/>
          <a:ext cx="2294051" cy="7203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</xdr:colOff>
      <xdr:row>3</xdr:row>
      <xdr:rowOff>70674</xdr:rowOff>
    </xdr:from>
    <xdr:to>
      <xdr:col>1</xdr:col>
      <xdr:colOff>1861471</xdr:colOff>
      <xdr:row>5</xdr:row>
      <xdr:rowOff>190054</xdr:rowOff>
    </xdr:to>
    <xdr:pic>
      <xdr:nvPicPr>
        <xdr:cNvPr id="2" name="Picture 1" descr="https://banesco.com.do/wp-content/docs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579"/>
        <a:stretch>
          <a:fillRect/>
        </a:stretch>
      </xdr:blipFill>
      <xdr:spPr bwMode="auto">
        <a:xfrm>
          <a:off x="191408" y="616774"/>
          <a:ext cx="1860563" cy="64008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206748</xdr:colOff>
      <xdr:row>51</xdr:row>
      <xdr:rowOff>142872</xdr:rowOff>
    </xdr:from>
    <xdr:to>
      <xdr:col>4</xdr:col>
      <xdr:colOff>1593897</xdr:colOff>
      <xdr:row>51</xdr:row>
      <xdr:rowOff>142872</xdr:rowOff>
    </xdr:to>
    <xdr:cxnSp macro="">
      <xdr:nvCxnSpPr>
        <xdr:cNvPr id="3" name="Conector recto 2"/>
        <xdr:cNvCxnSpPr/>
      </xdr:nvCxnSpPr>
      <xdr:spPr>
        <a:xfrm>
          <a:off x="4578723" y="9772647"/>
          <a:ext cx="3511224" cy="0"/>
        </a:xfrm>
        <a:prstGeom prst="line">
          <a:avLst/>
        </a:prstGeom>
        <a:ln w="19050"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645742</xdr:colOff>
      <xdr:row>58</xdr:row>
      <xdr:rowOff>113458</xdr:rowOff>
    </xdr:from>
    <xdr:to>
      <xdr:col>3</xdr:col>
      <xdr:colOff>1222844</xdr:colOff>
      <xdr:row>60</xdr:row>
      <xdr:rowOff>294154</xdr:rowOff>
    </xdr:to>
    <xdr:sp macro="" textlink="">
      <xdr:nvSpPr>
        <xdr:cNvPr id="4" name="CuadroTexto 3"/>
        <xdr:cNvSpPr txBox="1"/>
      </xdr:nvSpPr>
      <xdr:spPr>
        <a:xfrm>
          <a:off x="645742" y="11644311"/>
          <a:ext cx="2952749" cy="5392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</a:rPr>
            <a:t>Ejecutivo Negocios o Banca Corporativa y Empresa</a:t>
          </a:r>
        </a:p>
      </xdr:txBody>
    </xdr:sp>
    <xdr:clientData/>
  </xdr:twoCellAnchor>
  <xdr:twoCellAnchor>
    <xdr:from>
      <xdr:col>4</xdr:col>
      <xdr:colOff>1243852</xdr:colOff>
      <xdr:row>58</xdr:row>
      <xdr:rowOff>112059</xdr:rowOff>
    </xdr:from>
    <xdr:to>
      <xdr:col>6</xdr:col>
      <xdr:colOff>437729</xdr:colOff>
      <xdr:row>60</xdr:row>
      <xdr:rowOff>306062</xdr:rowOff>
    </xdr:to>
    <xdr:sp macro="" textlink="">
      <xdr:nvSpPr>
        <xdr:cNvPr id="5" name="CuadroTexto 4"/>
        <xdr:cNvSpPr txBox="1"/>
      </xdr:nvSpPr>
      <xdr:spPr>
        <a:xfrm>
          <a:off x="5277970" y="11642912"/>
          <a:ext cx="2275494" cy="5525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</a:rPr>
            <a:t>Gerente Sucursal/Banca Corporativa y</a:t>
          </a:r>
          <a:r>
            <a:rPr lang="en-US" sz="1200" b="1" baseline="0">
              <a:solidFill>
                <a:schemeClr val="tx1">
                  <a:lumMod val="65000"/>
                  <a:lumOff val="35000"/>
                </a:schemeClr>
              </a:solidFill>
            </a:rPr>
            <a:t> Empresa</a:t>
          </a:r>
          <a:endParaRPr lang="en-US" sz="12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1</xdr:col>
      <xdr:colOff>638734</xdr:colOff>
      <xdr:row>58</xdr:row>
      <xdr:rowOff>11206</xdr:rowOff>
    </xdr:from>
    <xdr:to>
      <xdr:col>3</xdr:col>
      <xdr:colOff>1442052</xdr:colOff>
      <xdr:row>58</xdr:row>
      <xdr:rowOff>24512</xdr:rowOff>
    </xdr:to>
    <xdr:cxnSp macro="">
      <xdr:nvCxnSpPr>
        <xdr:cNvPr id="6" name="Conector recto 5"/>
        <xdr:cNvCxnSpPr/>
      </xdr:nvCxnSpPr>
      <xdr:spPr>
        <a:xfrm>
          <a:off x="638734" y="11542059"/>
          <a:ext cx="3178965" cy="13306"/>
        </a:xfrm>
        <a:prstGeom prst="line">
          <a:avLst/>
        </a:prstGeom>
        <a:ln w="19050"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910473</xdr:colOff>
      <xdr:row>58</xdr:row>
      <xdr:rowOff>35717</xdr:rowOff>
    </xdr:from>
    <xdr:to>
      <xdr:col>7</xdr:col>
      <xdr:colOff>88943</xdr:colOff>
      <xdr:row>58</xdr:row>
      <xdr:rowOff>35717</xdr:rowOff>
    </xdr:to>
    <xdr:cxnSp macro="">
      <xdr:nvCxnSpPr>
        <xdr:cNvPr id="7" name="Conector recto 6"/>
        <xdr:cNvCxnSpPr/>
      </xdr:nvCxnSpPr>
      <xdr:spPr>
        <a:xfrm>
          <a:off x="4944591" y="11566570"/>
          <a:ext cx="2887617" cy="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88810</xdr:colOff>
      <xdr:row>52</xdr:row>
      <xdr:rowOff>9804</xdr:rowOff>
    </xdr:from>
    <xdr:to>
      <xdr:col>4</xdr:col>
      <xdr:colOff>1728790</xdr:colOff>
      <xdr:row>54</xdr:row>
      <xdr:rowOff>180974</xdr:rowOff>
    </xdr:to>
    <xdr:sp macro="" textlink="">
      <xdr:nvSpPr>
        <xdr:cNvPr id="8" name="CuadroTexto 7"/>
        <xdr:cNvSpPr txBox="1"/>
      </xdr:nvSpPr>
      <xdr:spPr>
        <a:xfrm>
          <a:off x="4460785" y="9820554"/>
          <a:ext cx="3764055" cy="533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</a:rPr>
            <a:t>Firma del cliente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5769</xdr:colOff>
      <xdr:row>2</xdr:row>
      <xdr:rowOff>114446</xdr:rowOff>
    </xdr:from>
    <xdr:to>
      <xdr:col>5</xdr:col>
      <xdr:colOff>463558</xdr:colOff>
      <xdr:row>6</xdr:row>
      <xdr:rowOff>43326</xdr:rowOff>
    </xdr:to>
    <xdr:pic>
      <xdr:nvPicPr>
        <xdr:cNvPr id="2" name="Picture 1" descr="https://banesco.com.do/wp-content/docs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579"/>
        <a:stretch>
          <a:fillRect/>
        </a:stretch>
      </xdr:blipFill>
      <xdr:spPr bwMode="auto">
        <a:xfrm>
          <a:off x="199030" y="473359"/>
          <a:ext cx="1910006" cy="63566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152400</xdr:colOff>
      <xdr:row>15</xdr:row>
      <xdr:rowOff>152400</xdr:rowOff>
    </xdr:from>
    <xdr:to>
      <xdr:col>9</xdr:col>
      <xdr:colOff>278974</xdr:colOff>
      <xdr:row>28</xdr:row>
      <xdr:rowOff>133349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3238500"/>
          <a:ext cx="6826100" cy="2371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Monedadelpréstamo" displayName="Monedadelpréstamo" ref="A1:A4" totalsRowShown="0">
  <autoFilter ref="A1:A4"/>
  <tableColumns count="1">
    <tableColumn id="1" nam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ipodepréstamo" displayName="Tipodepréstamo" ref="C1:C5" totalsRowShown="0">
  <autoFilter ref="C1:C5"/>
  <tableColumns count="1">
    <tableColumn id="1" name="Tipo de Préstam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Aplicaproporcióndelseguro" displayName="Aplicaproporcióndelseguro" ref="E1:E4" totalsRowShown="0">
  <autoFilter ref="E1:E4"/>
  <tableColumns count="1">
    <tableColumn id="1" name="Condició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lazo" displayName="Plazo" ref="A6:A32" totalsRowShown="0">
  <autoFilter ref="A6:A32"/>
  <tableColumns count="1">
    <tableColumn id="1" name="Plazo (Meses)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iempoComisión" displayName="TiempoComisión" ref="C7:D12" totalsRowShown="0">
  <autoFilter ref="C7:D12"/>
  <tableColumns count="2">
    <tableColumn id="1" name="Tiempo"/>
    <tableColumn id="2" name="Comisión" dataDxfId="1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ipodeoperación" displayName="Tipodeoperación" ref="C19:C22" totalsRowShown="0" headerRowDxfId="11" headerRowBorderDxfId="10" tableBorderDxfId="9" totalsRowBorderDxfId="8">
  <autoFilter ref="C19:C22"/>
  <tableColumns count="1">
    <tableColumn id="1" name="Tipo de Operació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C14:C17" totalsRowShown="0" headerRowDxfId="7" headerRowBorderDxfId="6" tableBorderDxfId="5" totalsRowBorderDxfId="4">
  <autoFilter ref="C14:C17"/>
  <tableColumns count="1">
    <tableColumn id="1" name="Pago de Interes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Reducción" displayName="Reducción" ref="E14:E17" totalsRowShown="0" headerRowDxfId="3" headerRowBorderDxfId="2" tableBorderDxfId="1" totalsRowBorderDxfId="0">
  <autoFilter ref="E14:E17"/>
  <tableColumns count="1">
    <tableColumn id="1" name="Reducció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Firma" displayName="Firma" ref="G1:G4" totalsRowShown="0">
  <autoFilter ref="G1:G4"/>
  <tableColumns count="1">
    <tableColumn id="1" name="Fir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nesco.com.d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132"/>
  <sheetViews>
    <sheetView showGridLines="0" view="pageBreakPreview" zoomScaleNormal="100" zoomScaleSheetLayoutView="100" workbookViewId="0">
      <selection activeCell="B20" sqref="B20"/>
    </sheetView>
  </sheetViews>
  <sheetFormatPr baseColWidth="10" defaultColWidth="0" defaultRowHeight="14.15" customHeight="1" zeroHeight="1"/>
  <cols>
    <col min="1" max="1" width="2.81640625" style="3" customWidth="1"/>
    <col min="2" max="2" width="43" style="3" customWidth="1"/>
    <col min="3" max="3" width="40.1796875" style="3" customWidth="1"/>
    <col min="4" max="4" width="2.81640625" style="3" customWidth="1"/>
    <col min="5" max="5" width="9.1796875" style="3" hidden="1" customWidth="1"/>
    <col min="6" max="13" width="12.1796875" style="3" hidden="1" customWidth="1"/>
    <col min="14" max="16384" width="9.1796875" style="3" hidden="1"/>
  </cols>
  <sheetData>
    <row r="1" spans="2:6" ht="15" customHeight="1"/>
    <row r="2" spans="2:6" ht="14.15" customHeight="1">
      <c r="C2" s="153" t="s">
        <v>117</v>
      </c>
    </row>
    <row r="3" spans="2:6" ht="14"/>
    <row r="4" spans="2:6" ht="14"/>
    <row r="5" spans="2:6" ht="14"/>
    <row r="6" spans="2:6" ht="14"/>
    <row r="7" spans="2:6" ht="17.25" customHeight="1">
      <c r="C7" s="5" t="s">
        <v>16</v>
      </c>
    </row>
    <row r="8" spans="2:6" ht="14">
      <c r="C8" s="6" t="s">
        <v>15</v>
      </c>
    </row>
    <row r="9" spans="2:6" ht="14">
      <c r="D9" s="91"/>
    </row>
    <row r="10" spans="2:6" ht="14"/>
    <row r="11" spans="2:6" ht="14"/>
    <row r="12" spans="2:6" ht="14">
      <c r="B12" s="4" t="s">
        <v>113</v>
      </c>
      <c r="C12" s="11"/>
    </row>
    <row r="13" spans="2:6" ht="14">
      <c r="B13" s="4" t="s">
        <v>3</v>
      </c>
      <c r="C13" s="11"/>
    </row>
    <row r="14" spans="2:6" ht="14">
      <c r="C14" s="23"/>
    </row>
    <row r="15" spans="2:6" ht="15" customHeight="1">
      <c r="B15" s="7" t="s">
        <v>13</v>
      </c>
      <c r="C15" s="10"/>
      <c r="F15" s="24"/>
    </row>
    <row r="16" spans="2:6" ht="15" customHeight="1">
      <c r="B16" s="21" t="s">
        <v>1</v>
      </c>
      <c r="C16" s="8" t="s">
        <v>114</v>
      </c>
      <c r="F16" s="24"/>
    </row>
    <row r="17" spans="2:7" ht="14">
      <c r="B17" s="22" t="s">
        <v>0</v>
      </c>
      <c r="C17" s="20"/>
      <c r="F17" s="24"/>
      <c r="G17" s="25"/>
    </row>
    <row r="18" spans="2:7" ht="14">
      <c r="B18" s="22" t="s">
        <v>11</v>
      </c>
      <c r="C18" s="149"/>
      <c r="E18" s="26"/>
    </row>
    <row r="19" spans="2:7" ht="14">
      <c r="B19" s="22" t="s">
        <v>12</v>
      </c>
      <c r="C19" s="149"/>
      <c r="D19" s="27"/>
    </row>
    <row r="20" spans="2:7" ht="14">
      <c r="B20" s="22" t="s">
        <v>112</v>
      </c>
      <c r="C20" s="150">
        <f>MONTH(C19-C18)</f>
        <v>1</v>
      </c>
    </row>
    <row r="21" spans="2:7" ht="14">
      <c r="B21" s="151" t="s">
        <v>111</v>
      </c>
      <c r="C21" s="152">
        <f>VLOOKUP(C20,Premisas!A68:B91,2,FALSE)</f>
        <v>2.5000000000000001E-2</v>
      </c>
    </row>
    <row r="22" spans="2:7" ht="36.75" customHeight="1">
      <c r="B22" s="19" t="s">
        <v>110</v>
      </c>
      <c r="C22" s="156">
        <f>C21*C15</f>
        <v>0</v>
      </c>
    </row>
    <row r="23" spans="2:7" ht="14"/>
    <row r="24" spans="2:7" ht="14"/>
    <row r="25" spans="2:7" ht="14">
      <c r="B25" s="28"/>
      <c r="C25" s="28"/>
    </row>
    <row r="26" spans="2:7" ht="14">
      <c r="B26" s="29"/>
      <c r="C26" s="29"/>
    </row>
    <row r="27" spans="2:7" ht="14">
      <c r="B27" s="30" t="s">
        <v>5</v>
      </c>
      <c r="C27" s="29" t="s">
        <v>5</v>
      </c>
    </row>
    <row r="28" spans="2:7" ht="32.25" customHeight="1">
      <c r="B28" s="36" t="s">
        <v>109</v>
      </c>
      <c r="C28" s="36" t="s">
        <v>4</v>
      </c>
    </row>
    <row r="29" spans="2:7" ht="15" customHeight="1"/>
    <row r="30" spans="2:7" ht="14" hidden="1"/>
    <row r="31" spans="2:7" ht="14" hidden="1"/>
    <row r="32" spans="2:7" ht="14" hidden="1"/>
    <row r="33" ht="14" hidden="1"/>
    <row r="34" ht="14" hidden="1"/>
    <row r="35" ht="14" hidden="1"/>
    <row r="36" ht="14" hidden="1"/>
    <row r="37" ht="14" hidden="1"/>
    <row r="38" ht="14" hidden="1"/>
    <row r="39" ht="14" hidden="1"/>
    <row r="40" ht="14" hidden="1"/>
    <row r="41" ht="15" hidden="1" customHeight="1"/>
    <row r="42" ht="14" hidden="1"/>
    <row r="43" ht="14" hidden="1"/>
    <row r="44" ht="14" hidden="1"/>
    <row r="45" ht="14" hidden="1"/>
    <row r="46" ht="14" hidden="1"/>
    <row r="47" ht="14" hidden="1"/>
    <row r="48" ht="14" hidden="1"/>
    <row r="49" ht="14" hidden="1"/>
    <row r="50" ht="14" hidden="1"/>
    <row r="51" ht="14" hidden="1"/>
    <row r="52" ht="14" hidden="1"/>
    <row r="53" ht="14" hidden="1"/>
    <row r="54" ht="14" hidden="1"/>
    <row r="55" ht="25.5" hidden="1" customHeight="1"/>
    <row r="56" ht="25.5" hidden="1" customHeight="1"/>
    <row r="57" ht="25.5" hidden="1" customHeight="1"/>
    <row r="58" ht="18.75" hidden="1" customHeight="1"/>
    <row r="59" ht="14" hidden="1"/>
    <row r="60" ht="14" hidden="1"/>
    <row r="61" ht="14" hidden="1"/>
    <row r="62" ht="14" hidden="1"/>
    <row r="63" ht="14" hidden="1"/>
    <row r="64" ht="14" hidden="1"/>
    <row r="65" ht="14" hidden="1"/>
    <row r="66" ht="14" hidden="1"/>
    <row r="67" ht="14" hidden="1"/>
    <row r="68" ht="14" hidden="1"/>
    <row r="69" ht="14" hidden="1"/>
    <row r="70" ht="14" hidden="1"/>
    <row r="71" ht="14" hidden="1"/>
    <row r="72" ht="14" hidden="1"/>
    <row r="73" ht="14" hidden="1"/>
    <row r="74" ht="15" hidden="1" customHeight="1"/>
    <row r="75" ht="14" hidden="1"/>
    <row r="76" ht="14" hidden="1"/>
    <row r="77" ht="14" hidden="1"/>
    <row r="78" ht="14" hidden="1"/>
    <row r="79" ht="14" hidden="1"/>
    <row r="80" ht="14" hidden="1"/>
    <row r="81" spans="2:2" ht="14" hidden="1"/>
    <row r="82" spans="2:2" ht="14" hidden="1"/>
    <row r="83" spans="2:2" ht="14" hidden="1"/>
    <row r="84" spans="2:2" ht="14" hidden="1"/>
    <row r="85" spans="2:2" ht="14" hidden="1"/>
    <row r="86" spans="2:2" ht="14" hidden="1"/>
    <row r="87" spans="2:2" ht="14" hidden="1"/>
    <row r="88" spans="2:2" ht="14" hidden="1"/>
    <row r="89" spans="2:2" ht="14" hidden="1"/>
    <row r="90" spans="2:2" ht="14" hidden="1"/>
    <row r="91" spans="2:2" ht="14" hidden="1"/>
    <row r="92" spans="2:2" ht="14" hidden="1"/>
    <row r="93" spans="2:2" ht="14" hidden="1"/>
    <row r="94" spans="2:2" ht="14" hidden="1"/>
    <row r="95" spans="2:2" ht="14" hidden="1">
      <c r="B95" s="31"/>
    </row>
    <row r="96" spans="2:2" ht="14" hidden="1">
      <c r="B96" s="32"/>
    </row>
    <row r="97" spans="2:2" ht="15" hidden="1" customHeight="1">
      <c r="B97" s="33"/>
    </row>
    <row r="98" spans="2:2" ht="14" hidden="1">
      <c r="B98" s="31"/>
    </row>
    <row r="99" spans="2:2" ht="14" hidden="1">
      <c r="B99" s="33"/>
    </row>
    <row r="100" spans="2:2" ht="14" hidden="1">
      <c r="B100" s="33"/>
    </row>
    <row r="101" spans="2:2" ht="14" hidden="1">
      <c r="B101" s="33"/>
    </row>
    <row r="102" spans="2:2" ht="14" hidden="1">
      <c r="B102" s="33"/>
    </row>
    <row r="103" spans="2:2" ht="14" hidden="1">
      <c r="B103" s="33"/>
    </row>
    <row r="104" spans="2:2" ht="14" hidden="1">
      <c r="B104" s="33"/>
    </row>
    <row r="105" spans="2:2" ht="14" hidden="1">
      <c r="B105" s="32"/>
    </row>
    <row r="106" spans="2:2" ht="14" hidden="1">
      <c r="B106" s="32"/>
    </row>
    <row r="107" spans="2:2" ht="21" hidden="1" customHeight="1">
      <c r="B107" s="32"/>
    </row>
    <row r="108" spans="2:2" ht="21" hidden="1" customHeight="1">
      <c r="B108" s="32"/>
    </row>
    <row r="109" spans="2:2" ht="21" hidden="1" customHeight="1">
      <c r="B109" s="32"/>
    </row>
    <row r="110" spans="2:2" ht="15" hidden="1" customHeight="1">
      <c r="B110" s="32"/>
    </row>
    <row r="111" spans="2:2" ht="14" hidden="1">
      <c r="B111" s="32"/>
    </row>
    <row r="112" spans="2:2" ht="14" hidden="1">
      <c r="B112" s="32"/>
    </row>
    <row r="113" spans="2:2" ht="14" hidden="1">
      <c r="B113" s="34"/>
    </row>
    <row r="114" spans="2:2" ht="14" hidden="1">
      <c r="B114" s="32"/>
    </row>
    <row r="115" spans="2:2" ht="14" hidden="1">
      <c r="B115" s="32"/>
    </row>
    <row r="116" spans="2:2" ht="14" hidden="1">
      <c r="B116" s="32"/>
    </row>
    <row r="117" spans="2:2" ht="14" hidden="1">
      <c r="B117" s="32"/>
    </row>
    <row r="118" spans="2:2" ht="14" hidden="1">
      <c r="B118" s="32"/>
    </row>
    <row r="119" spans="2:2" ht="14" hidden="1">
      <c r="B119" s="32"/>
    </row>
    <row r="120" spans="2:2" ht="14" hidden="1">
      <c r="B120" s="35"/>
    </row>
    <row r="121" spans="2:2" ht="14" hidden="1">
      <c r="B121" s="32"/>
    </row>
    <row r="122" spans="2:2" ht="14" hidden="1">
      <c r="B122" s="32"/>
    </row>
    <row r="123" spans="2:2" ht="15" hidden="1" customHeight="1">
      <c r="B123" s="32"/>
    </row>
    <row r="124" spans="2:2" ht="14" hidden="1">
      <c r="B124" s="32"/>
    </row>
    <row r="125" spans="2:2" ht="14" hidden="1">
      <c r="B125" s="32"/>
    </row>
    <row r="126" spans="2:2" ht="14" hidden="1">
      <c r="B126" s="32"/>
    </row>
    <row r="127" spans="2:2" ht="14" hidden="1">
      <c r="B127" s="32"/>
    </row>
    <row r="128" spans="2:2" ht="14" hidden="1">
      <c r="B128" s="34"/>
    </row>
    <row r="129" ht="14.15" hidden="1" customHeight="1"/>
    <row r="130" ht="14.15" hidden="1" customHeight="1"/>
    <row r="131" ht="14.15" hidden="1" customHeight="1"/>
    <row r="132" ht="14.15" hidden="1" customHeight="1"/>
  </sheetData>
  <sheetProtection sheet="1" formatCells="0" formatColumns="0" formatRows="0" autoFilter="0"/>
  <dataValidations count="5">
    <dataValidation type="decimal" operator="greaterThan" allowBlank="1" showInputMessage="1" showErrorMessage="1" sqref="C15">
      <formula1>0</formula1>
    </dataValidation>
    <dataValidation type="whole" operator="greaterThan" allowBlank="1" showInputMessage="1" showErrorMessage="1" sqref="C17">
      <formula1>0</formula1>
    </dataValidation>
    <dataValidation type="date" allowBlank="1" showInputMessage="1" showErrorMessage="1" sqref="C19">
      <formula1>C18</formula1>
      <formula2>402133</formula2>
    </dataValidation>
    <dataValidation type="date" allowBlank="1" showInputMessage="1" showErrorMessage="1" sqref="C18">
      <formula1>32874</formula1>
      <formula2>402133</formula2>
    </dataValidation>
    <dataValidation operator="greaterThan" allowBlank="1" showInputMessage="1" showErrorMessage="1" sqref="C13"/>
  </dataValidations>
  <hyperlinks>
    <hyperlink ref="C8" r:id="rId1"/>
  </hyperlinks>
  <pageMargins left="0.7" right="0.7" top="0.75" bottom="0.75" header="0.3" footer="0.3"/>
  <pageSetup paperSize="9" scale="89" orientation="portrait" r:id="rId2"/>
  <headerFooter>
    <oddFooter>&amp;C&amp;K0095D5Uso Interno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view="pageBreakPreview" zoomScaleNormal="100" zoomScaleSheetLayoutView="100" workbookViewId="0"/>
  </sheetViews>
  <sheetFormatPr baseColWidth="10" defaultColWidth="0" defaultRowHeight="14.5" customHeight="1" zeroHeight="1"/>
  <cols>
    <col min="1" max="1" width="2.7265625" style="166" customWidth="1"/>
    <col min="2" max="10" width="11.36328125" style="166" customWidth="1"/>
    <col min="11" max="11" width="2.7265625" style="166" customWidth="1"/>
    <col min="12" max="16384" width="10.90625" style="166" hidden="1"/>
  </cols>
  <sheetData>
    <row r="1" spans="1:10" ht="15" customHeight="1" thickBot="1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0" ht="15" customHeight="1">
      <c r="A2" s="165"/>
      <c r="B2" s="167"/>
      <c r="C2" s="168"/>
      <c r="D2" s="168"/>
      <c r="E2" s="168"/>
      <c r="F2" s="168"/>
      <c r="G2" s="169"/>
      <c r="H2" s="192" t="s">
        <v>147</v>
      </c>
      <c r="I2" s="192"/>
      <c r="J2" s="193"/>
    </row>
    <row r="3" spans="1:10" ht="15" customHeight="1">
      <c r="A3" s="165"/>
      <c r="B3" s="170"/>
      <c r="C3" s="171"/>
      <c r="D3" s="171"/>
      <c r="E3" s="171"/>
      <c r="F3" s="171"/>
      <c r="G3" s="171"/>
      <c r="H3" s="171"/>
      <c r="I3" s="171"/>
      <c r="J3" s="172"/>
    </row>
    <row r="4" spans="1:10" ht="15" customHeight="1">
      <c r="A4" s="165"/>
      <c r="B4" s="170"/>
      <c r="C4" s="171"/>
      <c r="D4" s="171"/>
      <c r="E4" s="171"/>
      <c r="F4" s="194" t="s">
        <v>148</v>
      </c>
      <c r="G4" s="194"/>
      <c r="H4" s="194"/>
      <c r="I4" s="194"/>
      <c r="J4" s="195"/>
    </row>
    <row r="5" spans="1:10" ht="15" customHeight="1">
      <c r="A5" s="165"/>
      <c r="B5" s="170"/>
      <c r="C5" s="171"/>
      <c r="D5" s="171"/>
      <c r="E5" s="171"/>
      <c r="F5" s="194"/>
      <c r="G5" s="194"/>
      <c r="H5" s="194"/>
      <c r="I5" s="194"/>
      <c r="J5" s="195"/>
    </row>
    <row r="6" spans="1:10" ht="15" customHeight="1">
      <c r="A6" s="165"/>
      <c r="B6" s="170"/>
      <c r="C6" s="171"/>
      <c r="D6" s="171"/>
      <c r="E6" s="171"/>
      <c r="F6" s="194"/>
      <c r="G6" s="194"/>
      <c r="H6" s="194"/>
      <c r="I6" s="194"/>
      <c r="J6" s="195"/>
    </row>
    <row r="7" spans="1:10" ht="15" customHeight="1">
      <c r="A7" s="165"/>
      <c r="B7" s="170"/>
      <c r="C7" s="171"/>
      <c r="D7" s="171"/>
      <c r="E7" s="171"/>
      <c r="F7" s="194"/>
      <c r="G7" s="194"/>
      <c r="H7" s="194"/>
      <c r="I7" s="194"/>
      <c r="J7" s="195"/>
    </row>
    <row r="8" spans="1:10" ht="15" customHeight="1">
      <c r="A8" s="165"/>
      <c r="B8" s="196" t="s">
        <v>16</v>
      </c>
      <c r="C8" s="197"/>
      <c r="D8" s="197"/>
      <c r="E8" s="171"/>
      <c r="F8" s="194"/>
      <c r="G8" s="194"/>
      <c r="H8" s="194"/>
      <c r="I8" s="194"/>
      <c r="J8" s="195"/>
    </row>
    <row r="9" spans="1:10" ht="15" customHeight="1">
      <c r="A9" s="165"/>
      <c r="B9" s="170"/>
      <c r="C9" s="171"/>
      <c r="D9" s="171"/>
      <c r="E9" s="171"/>
      <c r="F9" s="171"/>
      <c r="G9" s="171"/>
      <c r="H9" s="171"/>
      <c r="I9" s="171"/>
      <c r="J9" s="172"/>
    </row>
    <row r="10" spans="1:10" ht="15" customHeight="1">
      <c r="A10" s="165"/>
      <c r="B10" s="198" t="s">
        <v>125</v>
      </c>
      <c r="C10" s="199"/>
      <c r="D10" s="199"/>
      <c r="E10" s="199"/>
      <c r="F10" s="199"/>
      <c r="G10" s="199"/>
      <c r="H10" s="199"/>
      <c r="I10" s="199"/>
      <c r="J10" s="200"/>
    </row>
    <row r="11" spans="1:10" ht="15" customHeight="1">
      <c r="A11" s="165"/>
      <c r="B11" s="198"/>
      <c r="C11" s="199"/>
      <c r="D11" s="199"/>
      <c r="E11" s="199"/>
      <c r="F11" s="199"/>
      <c r="G11" s="199"/>
      <c r="H11" s="199"/>
      <c r="I11" s="199"/>
      <c r="J11" s="200"/>
    </row>
    <row r="12" spans="1:10" ht="15" customHeight="1">
      <c r="A12" s="165"/>
      <c r="B12" s="198"/>
      <c r="C12" s="199"/>
      <c r="D12" s="199"/>
      <c r="E12" s="199"/>
      <c r="F12" s="199"/>
      <c r="G12" s="199"/>
      <c r="H12" s="199"/>
      <c r="I12" s="199"/>
      <c r="J12" s="200"/>
    </row>
    <row r="13" spans="1:10" ht="15" customHeight="1">
      <c r="A13" s="165"/>
      <c r="B13" s="170"/>
      <c r="C13" s="171"/>
      <c r="D13" s="171"/>
      <c r="E13" s="171"/>
      <c r="F13" s="171"/>
      <c r="G13" s="171"/>
      <c r="H13" s="171"/>
      <c r="I13" s="171"/>
      <c r="J13" s="172"/>
    </row>
    <row r="14" spans="1:10" ht="15" customHeight="1">
      <c r="A14" s="165"/>
      <c r="B14" s="201" t="s">
        <v>14</v>
      </c>
      <c r="C14" s="202"/>
      <c r="D14" s="202"/>
      <c r="E14" s="173"/>
      <c r="F14" s="202" t="s">
        <v>3</v>
      </c>
      <c r="G14" s="202"/>
      <c r="H14" s="171"/>
      <c r="I14" s="202" t="s">
        <v>126</v>
      </c>
      <c r="J14" s="203"/>
    </row>
    <row r="15" spans="1:10" ht="15" customHeight="1">
      <c r="A15" s="165"/>
      <c r="B15" s="204"/>
      <c r="C15" s="205"/>
      <c r="D15" s="205"/>
      <c r="E15" s="171"/>
      <c r="F15" s="205"/>
      <c r="G15" s="205"/>
      <c r="H15" s="171"/>
      <c r="I15" s="205" t="s">
        <v>127</v>
      </c>
      <c r="J15" s="206"/>
    </row>
    <row r="16" spans="1:10" ht="15" customHeight="1">
      <c r="A16" s="165"/>
      <c r="B16" s="174"/>
      <c r="C16" s="173"/>
      <c r="D16" s="171"/>
      <c r="E16" s="171"/>
      <c r="F16" s="171"/>
      <c r="G16" s="171"/>
      <c r="H16" s="171"/>
      <c r="I16" s="171"/>
      <c r="J16" s="172"/>
    </row>
    <row r="17" spans="1:11" ht="15" customHeight="1">
      <c r="A17" s="165"/>
      <c r="B17" s="207" t="s">
        <v>1</v>
      </c>
      <c r="C17" s="208"/>
      <c r="D17" s="205" t="s">
        <v>127</v>
      </c>
      <c r="E17" s="205"/>
      <c r="F17" s="173"/>
      <c r="G17" s="208" t="s">
        <v>128</v>
      </c>
      <c r="H17" s="208"/>
      <c r="I17" s="205" t="s">
        <v>127</v>
      </c>
      <c r="J17" s="206"/>
    </row>
    <row r="18" spans="1:11" s="181" customFormat="1" ht="15" customHeight="1">
      <c r="A18" s="175"/>
      <c r="B18" s="176"/>
      <c r="C18" s="177"/>
      <c r="D18" s="178"/>
      <c r="E18" s="178"/>
      <c r="F18" s="179"/>
      <c r="G18" s="177"/>
      <c r="H18" s="177"/>
      <c r="I18" s="178"/>
      <c r="J18" s="180"/>
    </row>
    <row r="19" spans="1:11">
      <c r="A19" s="165"/>
      <c r="B19" s="207" t="s">
        <v>129</v>
      </c>
      <c r="C19" s="208"/>
      <c r="D19" s="208"/>
      <c r="E19" s="208"/>
      <c r="F19" s="209">
        <v>0</v>
      </c>
      <c r="G19" s="209"/>
      <c r="H19" s="209"/>
      <c r="I19" s="209"/>
      <c r="J19" s="210"/>
    </row>
    <row r="20" spans="1:11">
      <c r="A20" s="175"/>
      <c r="B20" s="176"/>
      <c r="C20" s="177"/>
      <c r="D20" s="177"/>
      <c r="E20" s="177"/>
      <c r="F20" s="182"/>
      <c r="G20" s="182"/>
      <c r="H20" s="182"/>
      <c r="I20" s="182"/>
      <c r="J20" s="183"/>
    </row>
    <row r="21" spans="1:11">
      <c r="A21" s="165"/>
      <c r="B21" s="207" t="s">
        <v>130</v>
      </c>
      <c r="C21" s="208"/>
      <c r="D21" s="208"/>
      <c r="E21" s="208"/>
      <c r="F21" s="209">
        <v>0</v>
      </c>
      <c r="G21" s="209"/>
      <c r="H21" s="209"/>
      <c r="I21" s="209"/>
      <c r="J21" s="210"/>
    </row>
    <row r="22" spans="1:11">
      <c r="A22" s="175"/>
      <c r="B22" s="176"/>
      <c r="C22" s="177"/>
      <c r="D22" s="177"/>
      <c r="E22" s="177"/>
      <c r="F22" s="182"/>
      <c r="G22" s="182"/>
      <c r="H22" s="182"/>
      <c r="I22" s="182"/>
      <c r="J22" s="183"/>
    </row>
    <row r="23" spans="1:11">
      <c r="A23" s="165"/>
      <c r="B23" s="207" t="s">
        <v>11</v>
      </c>
      <c r="C23" s="208"/>
      <c r="D23" s="211"/>
      <c r="E23" s="211"/>
      <c r="F23" s="171"/>
      <c r="G23" s="208" t="s">
        <v>12</v>
      </c>
      <c r="H23" s="208"/>
      <c r="I23" s="211"/>
      <c r="J23" s="212"/>
    </row>
    <row r="24" spans="1:11">
      <c r="A24" s="175"/>
      <c r="B24" s="176"/>
      <c r="C24" s="177"/>
      <c r="D24" s="178"/>
      <c r="E24" s="178"/>
      <c r="F24" s="184"/>
      <c r="G24" s="177"/>
      <c r="H24" s="177"/>
      <c r="I24" s="178"/>
      <c r="J24" s="180"/>
      <c r="K24" s="181"/>
    </row>
    <row r="25" spans="1:11">
      <c r="A25" s="165"/>
      <c r="B25" s="207" t="s">
        <v>131</v>
      </c>
      <c r="C25" s="208"/>
      <c r="D25" s="208"/>
      <c r="E25" s="208"/>
      <c r="F25" s="268" t="str">
        <f>IF(OR(I17="", I23="", D23=""), "", IFERROR(((I23-D23)/30.416666667), ""))</f>
        <v/>
      </c>
      <c r="G25" s="268"/>
      <c r="H25" s="268"/>
      <c r="I25" s="268"/>
      <c r="J25" s="269"/>
    </row>
    <row r="26" spans="1:11">
      <c r="A26" s="165"/>
      <c r="B26" s="174"/>
      <c r="C26" s="171"/>
      <c r="D26" s="171"/>
      <c r="E26" s="171"/>
      <c r="F26" s="171"/>
      <c r="G26" s="171"/>
      <c r="H26" s="171"/>
      <c r="I26" s="171"/>
      <c r="J26" s="172"/>
    </row>
    <row r="27" spans="1:11">
      <c r="A27" s="165"/>
      <c r="B27" s="207" t="s">
        <v>141</v>
      </c>
      <c r="C27" s="208"/>
      <c r="D27" s="205" t="s">
        <v>127</v>
      </c>
      <c r="E27" s="205"/>
      <c r="F27" s="173"/>
      <c r="G27" s="208" t="s">
        <v>143</v>
      </c>
      <c r="H27" s="208"/>
      <c r="I27" s="205" t="s">
        <v>127</v>
      </c>
      <c r="J27" s="206"/>
    </row>
    <row r="28" spans="1:11">
      <c r="A28" s="165"/>
      <c r="B28" s="174"/>
      <c r="C28" s="171"/>
      <c r="D28" s="171"/>
      <c r="E28" s="171"/>
      <c r="F28" s="171"/>
      <c r="G28" s="171"/>
      <c r="H28" s="171"/>
      <c r="I28" s="171"/>
      <c r="J28" s="172"/>
    </row>
    <row r="29" spans="1:11">
      <c r="A29" s="165"/>
      <c r="B29" s="207" t="s">
        <v>132</v>
      </c>
      <c r="C29" s="208"/>
      <c r="D29" s="208"/>
      <c r="E29" s="208"/>
      <c r="F29" s="225" t="str">
        <f>IF(B30="Sí","Ingresar valor", IF(B30="No", "No Aplica", ""))</f>
        <v/>
      </c>
      <c r="G29" s="225"/>
      <c r="H29" s="225"/>
      <c r="I29" s="225"/>
      <c r="J29" s="226"/>
    </row>
    <row r="30" spans="1:11">
      <c r="A30" s="165"/>
      <c r="B30" s="204" t="s">
        <v>127</v>
      </c>
      <c r="C30" s="205"/>
      <c r="D30" s="205"/>
      <c r="E30" s="205"/>
      <c r="F30" s="209">
        <v>0</v>
      </c>
      <c r="G30" s="209"/>
      <c r="H30" s="209"/>
      <c r="I30" s="209"/>
      <c r="J30" s="210"/>
    </row>
    <row r="31" spans="1:11">
      <c r="A31" s="165"/>
      <c r="B31" s="170"/>
      <c r="C31" s="171"/>
      <c r="D31" s="171"/>
      <c r="E31" s="171"/>
      <c r="F31" s="171"/>
      <c r="G31" s="171"/>
      <c r="H31" s="171"/>
      <c r="I31" s="171"/>
      <c r="J31" s="172"/>
    </row>
    <row r="32" spans="1:11" ht="14.5" customHeight="1">
      <c r="A32" s="165"/>
      <c r="B32" s="213" t="str">
        <f>IF(D27="Abono", "Comisión por Abono", IF(D27="Pre-Cancelación", "Comisión por Pre-Cancelación", ""))</f>
        <v/>
      </c>
      <c r="C32" s="214"/>
      <c r="D32" s="214"/>
      <c r="E32" s="214"/>
      <c r="F32" s="214"/>
      <c r="G32" s="215" t="str">
        <f>IF(OR(D27="",D17="",F21="",F19="",I17="",F25="",F19=0),"",IFERROR(IF(D27="Abono",IF(D17="Consumo",IF(AND(F21/F19&gt;15%,F25&lt;=12),0.035*F21,IF(AND(F21/F19&gt;15%,F25&gt;12,F25&lt;=24),0.03*F21,"No Aplica Comisión")),IF(D17="Hipotecario","No Aplica Comisión",IF(D17="Comercial",IF(AND(F21/F19&gt;15%,F25&lt;=12),0.025*F21,IF(AND(F21/F19&gt;15%,F25&gt;12,F25&lt;=24),0.02*F21,"No Aplica Comisión")),"No Aplica Comisión"))),IF(D27="Pre-Cancelación",IF(F21/F19&gt;15%,IF(F25&lt;=24,0.05*F19,IF(AND(F25&gt;24,F25&lt;=36),0.04*F19,IF(AND(F25&gt;36,F25&lt;=48),0.03*F19,IF(AND(F25&gt;36,F25&lt;=60),0.02*F19,"No Aplica Comisión")))),"No Aplica Comisión"),"No Aplica Comisión")),""))</f>
        <v/>
      </c>
      <c r="H32" s="215"/>
      <c r="I32" s="215"/>
      <c r="J32" s="216"/>
    </row>
    <row r="33" spans="1:10" ht="14.5" customHeight="1">
      <c r="A33" s="165"/>
      <c r="B33" s="213"/>
      <c r="C33" s="214"/>
      <c r="D33" s="214"/>
      <c r="E33" s="214"/>
      <c r="F33" s="214"/>
      <c r="G33" s="215"/>
      <c r="H33" s="215"/>
      <c r="I33" s="215"/>
      <c r="J33" s="216"/>
    </row>
    <row r="34" spans="1:10">
      <c r="A34" s="165"/>
      <c r="B34" s="170"/>
      <c r="C34" s="171"/>
      <c r="D34" s="171"/>
      <c r="E34" s="171"/>
      <c r="F34" s="171"/>
      <c r="G34" s="171"/>
      <c r="H34" s="171"/>
      <c r="I34" s="171"/>
      <c r="J34" s="172"/>
    </row>
    <row r="35" spans="1:10">
      <c r="A35" s="165"/>
      <c r="B35" s="170"/>
      <c r="C35" s="171"/>
      <c r="D35" s="171"/>
      <c r="E35" s="171"/>
      <c r="F35" s="171"/>
      <c r="G35" s="171"/>
      <c r="H35" s="171"/>
      <c r="I35" s="171"/>
      <c r="J35" s="172"/>
    </row>
    <row r="36" spans="1:10">
      <c r="A36" s="165"/>
      <c r="B36" s="170"/>
      <c r="C36" s="171"/>
      <c r="D36" s="171"/>
      <c r="E36" s="171"/>
      <c r="F36" s="171"/>
      <c r="G36" s="171"/>
      <c r="H36" s="171"/>
      <c r="I36" s="171"/>
      <c r="J36" s="172"/>
    </row>
    <row r="37" spans="1:10" ht="15" thickBot="1">
      <c r="A37" s="165"/>
      <c r="B37" s="185"/>
      <c r="C37" s="186"/>
      <c r="D37" s="186"/>
      <c r="E37" s="186"/>
      <c r="F37" s="171"/>
      <c r="G37" s="186"/>
      <c r="H37" s="186"/>
      <c r="I37" s="186"/>
      <c r="J37" s="187"/>
    </row>
    <row r="38" spans="1:10">
      <c r="A38" s="165"/>
      <c r="B38" s="217" t="s">
        <v>127</v>
      </c>
      <c r="C38" s="218"/>
      <c r="D38" s="218"/>
      <c r="E38" s="218"/>
      <c r="F38" s="171"/>
      <c r="G38" s="221" t="s">
        <v>4</v>
      </c>
      <c r="H38" s="221"/>
      <c r="I38" s="221"/>
      <c r="J38" s="222"/>
    </row>
    <row r="39" spans="1:10">
      <c r="A39" s="165"/>
      <c r="B39" s="219"/>
      <c r="C39" s="220"/>
      <c r="D39" s="220"/>
      <c r="E39" s="220"/>
      <c r="F39" s="171"/>
      <c r="G39" s="223"/>
      <c r="H39" s="223"/>
      <c r="I39" s="223"/>
      <c r="J39" s="224"/>
    </row>
    <row r="40" spans="1:10" ht="15" thickBot="1">
      <c r="A40" s="165"/>
      <c r="B40" s="185"/>
      <c r="C40" s="186"/>
      <c r="D40" s="186"/>
      <c r="E40" s="186"/>
      <c r="F40" s="186"/>
      <c r="G40" s="186"/>
      <c r="H40" s="186"/>
      <c r="I40" s="186"/>
      <c r="J40" s="187"/>
    </row>
    <row r="41" spans="1:10">
      <c r="A41" s="165"/>
      <c r="B41" s="165"/>
      <c r="C41" s="165"/>
      <c r="D41" s="165"/>
      <c r="E41" s="165"/>
      <c r="F41" s="165"/>
      <c r="G41" s="165"/>
      <c r="H41" s="165"/>
      <c r="I41" s="165"/>
      <c r="J41" s="165"/>
    </row>
    <row r="42" spans="1:10" hidden="1">
      <c r="A42" s="165"/>
      <c r="B42" s="165"/>
      <c r="C42" s="165"/>
      <c r="D42" s="165"/>
      <c r="E42" s="165"/>
      <c r="F42" s="165"/>
      <c r="G42" s="165"/>
      <c r="H42" s="165"/>
      <c r="I42" s="165"/>
      <c r="J42" s="165"/>
    </row>
    <row r="43" spans="1:10" hidden="1">
      <c r="A43" s="165"/>
      <c r="B43" s="165"/>
      <c r="C43" s="165"/>
      <c r="D43" s="165"/>
      <c r="E43" s="165"/>
      <c r="F43" s="165"/>
      <c r="G43" s="165"/>
      <c r="H43" s="165"/>
      <c r="I43" s="165"/>
      <c r="J43" s="165"/>
    </row>
    <row r="44" spans="1:10" hidden="1"/>
  </sheetData>
  <sheetProtection algorithmName="SHA-512" hashValue="g7fnwiC9V90s2sMW81s5VtxswQThp7A7un9yHbkq/hjOxYi9M3Ga1SG2UUuES6uq4r8jKOSeoHIH517mVfFy5Q==" saltValue="ZTAHqdOy7lMwCkep2nHarg==" spinCount="100000" sheet="1" formatCells="0" formatColumns="0" formatRows="0"/>
  <mergeCells count="36">
    <mergeCell ref="B32:F33"/>
    <mergeCell ref="G32:J33"/>
    <mergeCell ref="B38:E39"/>
    <mergeCell ref="G38:J39"/>
    <mergeCell ref="B25:E25"/>
    <mergeCell ref="F25:J25"/>
    <mergeCell ref="B29:E29"/>
    <mergeCell ref="F29:J29"/>
    <mergeCell ref="B30:E30"/>
    <mergeCell ref="F30:J30"/>
    <mergeCell ref="B27:C27"/>
    <mergeCell ref="D27:E27"/>
    <mergeCell ref="G27:H27"/>
    <mergeCell ref="I27:J27"/>
    <mergeCell ref="B19:E19"/>
    <mergeCell ref="F19:J19"/>
    <mergeCell ref="B21:E21"/>
    <mergeCell ref="F21:J21"/>
    <mergeCell ref="B23:C23"/>
    <mergeCell ref="D23:E23"/>
    <mergeCell ref="G23:H23"/>
    <mergeCell ref="I23:J23"/>
    <mergeCell ref="B15:D15"/>
    <mergeCell ref="F15:G15"/>
    <mergeCell ref="I15:J15"/>
    <mergeCell ref="B17:C17"/>
    <mergeCell ref="D17:E17"/>
    <mergeCell ref="G17:H17"/>
    <mergeCell ref="I17:J17"/>
    <mergeCell ref="H2:J2"/>
    <mergeCell ref="F4:J8"/>
    <mergeCell ref="B8:D8"/>
    <mergeCell ref="B10:J12"/>
    <mergeCell ref="B14:D14"/>
    <mergeCell ref="F14:G14"/>
    <mergeCell ref="I14:J14"/>
  </mergeCells>
  <dataValidations count="1">
    <dataValidation type="date" allowBlank="1" showInputMessage="1" showErrorMessage="1" promptTitle="Fecha" prompt="mes/día/año" sqref="D23:E23 I23:J23">
      <formula1>32874</formula1>
      <formula2>402133</formula2>
    </dataValidation>
  </dataValidations>
  <pageMargins left="0.7" right="0.7" top="0.75" bottom="0.75" header="0.3" footer="0.3"/>
  <pageSetup scale="83" orientation="portrait" horizontalDpi="4294967294" verticalDpi="4294967294" r:id="rId1"/>
  <headerFooter>
    <oddFooter>&amp;C&amp;K0095D5Uso Interno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Listados!$A$7:$A$32</xm:f>
          </x14:formula1>
          <xm:sqref>I17:J17</xm:sqref>
        </x14:dataValidation>
        <x14:dataValidation type="list" allowBlank="1" showInputMessage="1" showErrorMessage="1">
          <x14:formula1>
            <xm:f>Listados!$C$2:$C$5</xm:f>
          </x14:formula1>
          <xm:sqref>D17:E17</xm:sqref>
        </x14:dataValidation>
        <x14:dataValidation type="list" allowBlank="1" showInputMessage="1" showErrorMessage="1">
          <x14:formula1>
            <xm:f>Listados!$E$2:$E$4</xm:f>
          </x14:formula1>
          <xm:sqref>B30:E30</xm:sqref>
        </x14:dataValidation>
        <x14:dataValidation type="list" allowBlank="1" showInputMessage="1" showErrorMessage="1">
          <x14:formula1>
            <xm:f>Listados!$A$2:$A$4</xm:f>
          </x14:formula1>
          <xm:sqref>I15:J15</xm:sqref>
        </x14:dataValidation>
        <x14:dataValidation type="list" allowBlank="1" showInputMessage="1" showErrorMessage="1">
          <x14:formula1>
            <xm:f>Listados!$C$20:$C$22</xm:f>
          </x14:formula1>
          <xm:sqref>D27:E27</xm:sqref>
        </x14:dataValidation>
        <x14:dataValidation type="list" allowBlank="1" showInputMessage="1" showErrorMessage="1">
          <x14:formula1>
            <xm:f>Listados!$E$15:$E$17</xm:f>
          </x14:formula1>
          <xm:sqref>I27:J27</xm:sqref>
        </x14:dataValidation>
        <x14:dataValidation type="list" allowBlank="1" showInputMessage="1" showErrorMessage="1">
          <x14:formula1>
            <xm:f>Listados!$G$2:$G$4</xm:f>
          </x14:formula1>
          <xm:sqref>B38:E39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XFC72"/>
  <sheetViews>
    <sheetView showGridLines="0" view="pageBreakPreview" zoomScale="85" zoomScaleNormal="85" zoomScaleSheetLayoutView="85" workbookViewId="0"/>
  </sheetViews>
  <sheetFormatPr baseColWidth="10" defaultColWidth="0" defaultRowHeight="0" customHeight="1" zeroHeight="1"/>
  <cols>
    <col min="1" max="1" width="2.81640625" style="9" customWidth="1"/>
    <col min="2" max="2" width="54.1796875" style="9" bestFit="1" customWidth="1"/>
    <col min="3" max="3" width="3.81640625" style="9" customWidth="1"/>
    <col min="4" max="4" width="5.1796875" style="9" customWidth="1"/>
    <col min="5" max="5" width="28.81640625" style="9" customWidth="1"/>
    <col min="6" max="6" width="22.81640625" style="9" bestFit="1" customWidth="1"/>
    <col min="7" max="7" width="11" style="9" customWidth="1"/>
    <col min="8" max="8" width="18" style="9" customWidth="1"/>
    <col min="9" max="9" width="2.81640625" style="9" customWidth="1"/>
    <col min="10" max="11" width="9.1796875" style="9" hidden="1"/>
    <col min="12" max="12" width="20.1796875" style="38" hidden="1"/>
    <col min="13" max="13" width="9.1796875" style="9" hidden="1"/>
    <col min="14" max="14" width="5.453125" style="9" hidden="1"/>
    <col min="15" max="15" width="14.81640625" style="9" hidden="1"/>
    <col min="16" max="16382" width="11.453125" style="9" hidden="1"/>
    <col min="16383" max="16383" width="3.453125" style="9" hidden="1"/>
    <col min="16384" max="16384" width="4.81640625" style="9" hidden="1"/>
  </cols>
  <sheetData>
    <row r="1" spans="2:15" ht="15" customHeight="1">
      <c r="G1" s="37"/>
      <c r="K1" s="9" t="s">
        <v>35</v>
      </c>
    </row>
    <row r="2" spans="2:15" ht="14">
      <c r="G2" s="227" t="s">
        <v>124</v>
      </c>
      <c r="H2" s="227"/>
    </row>
    <row r="3" spans="2:15" ht="14">
      <c r="G3" s="37"/>
      <c r="K3" s="9" t="s">
        <v>32</v>
      </c>
      <c r="L3" s="38">
        <v>4239910101050000</v>
      </c>
    </row>
    <row r="4" spans="2:15" ht="23.25" customHeight="1">
      <c r="I4" s="39"/>
      <c r="K4" s="9" t="s">
        <v>33</v>
      </c>
      <c r="L4" s="38">
        <v>4239920101050000</v>
      </c>
    </row>
    <row r="5" spans="2:15" ht="18">
      <c r="B5" s="230" t="s">
        <v>34</v>
      </c>
      <c r="C5" s="230"/>
      <c r="D5" s="230"/>
      <c r="E5" s="230"/>
      <c r="F5" s="230"/>
      <c r="G5" s="230"/>
      <c r="H5" s="230"/>
      <c r="I5" s="40"/>
      <c r="J5" s="40"/>
      <c r="K5" s="40"/>
      <c r="M5" s="40"/>
      <c r="N5" s="40"/>
      <c r="O5" s="40"/>
    </row>
    <row r="6" spans="2:15" ht="18">
      <c r="B6" s="231"/>
      <c r="C6" s="231"/>
      <c r="D6" s="231"/>
      <c r="E6" s="231"/>
      <c r="F6" s="231"/>
      <c r="G6" s="231"/>
      <c r="H6" s="231"/>
      <c r="I6" s="39"/>
    </row>
    <row r="7" spans="2:15" ht="8.25" customHeight="1">
      <c r="B7" s="158"/>
      <c r="C7" s="158"/>
      <c r="D7" s="158"/>
      <c r="E7" s="158"/>
      <c r="F7" s="158"/>
      <c r="G7" s="158"/>
      <c r="H7" s="158"/>
      <c r="I7" s="39"/>
      <c r="L7" s="9" t="s">
        <v>35</v>
      </c>
    </row>
    <row r="8" spans="2:15" ht="18" customHeight="1">
      <c r="B8" s="112"/>
      <c r="C8" s="112"/>
      <c r="D8" s="112"/>
      <c r="E8" s="112"/>
      <c r="F8" s="112"/>
      <c r="G8" s="113" t="s">
        <v>38</v>
      </c>
      <c r="H8" s="160">
        <f ca="1">TODAY()</f>
        <v>45980</v>
      </c>
      <c r="I8" s="39"/>
      <c r="L8" s="38" t="s">
        <v>36</v>
      </c>
    </row>
    <row r="9" spans="2:15" ht="11.25" customHeight="1">
      <c r="B9" s="158"/>
      <c r="C9" s="158"/>
      <c r="D9" s="158"/>
      <c r="E9" s="158"/>
      <c r="F9" s="158"/>
      <c r="G9" s="158"/>
      <c r="H9" s="158"/>
      <c r="I9" s="39"/>
      <c r="L9" s="38" t="s">
        <v>37</v>
      </c>
    </row>
    <row r="10" spans="2:15" ht="19.5" customHeight="1">
      <c r="B10" s="117" t="s">
        <v>14</v>
      </c>
      <c r="C10" s="109"/>
      <c r="D10" s="109"/>
      <c r="E10" s="232"/>
      <c r="F10" s="232"/>
      <c r="G10" s="232"/>
      <c r="H10" s="232"/>
      <c r="I10" s="39"/>
    </row>
    <row r="11" spans="2:15" ht="11.25" customHeight="1">
      <c r="B11" s="108"/>
      <c r="C11" s="108"/>
      <c r="D11" s="108"/>
      <c r="E11" s="127"/>
      <c r="F11" s="128"/>
      <c r="G11" s="128"/>
      <c r="H11" s="128"/>
      <c r="I11" s="39"/>
      <c r="L11" s="38" t="s">
        <v>35</v>
      </c>
    </row>
    <row r="12" spans="2:15" ht="19.5" customHeight="1">
      <c r="B12" s="109" t="s">
        <v>39</v>
      </c>
      <c r="C12" s="109"/>
      <c r="D12" s="109"/>
      <c r="E12" s="129"/>
      <c r="F12" s="128"/>
      <c r="G12" s="128"/>
      <c r="H12" s="128"/>
      <c r="I12" s="39"/>
      <c r="L12" s="38" t="s">
        <v>96</v>
      </c>
    </row>
    <row r="13" spans="2:15" ht="10.5" customHeight="1">
      <c r="B13" s="108"/>
      <c r="C13" s="108"/>
      <c r="D13" s="108"/>
      <c r="E13" s="130"/>
      <c r="F13" s="131"/>
      <c r="G13" s="128"/>
      <c r="H13" s="128"/>
      <c r="I13" s="39"/>
      <c r="L13" s="38" t="s">
        <v>36</v>
      </c>
    </row>
    <row r="14" spans="2:15" ht="20.25" customHeight="1">
      <c r="B14" s="109" t="s">
        <v>40</v>
      </c>
      <c r="C14" s="109"/>
      <c r="D14" s="109"/>
      <c r="E14" s="129"/>
      <c r="F14" s="233"/>
      <c r="G14" s="233"/>
      <c r="H14" s="128"/>
      <c r="I14" s="39"/>
    </row>
    <row r="15" spans="2:15" ht="18.75" customHeight="1">
      <c r="B15" s="110"/>
      <c r="C15" s="114"/>
      <c r="D15" s="114"/>
      <c r="E15" s="132"/>
      <c r="F15" s="131"/>
      <c r="G15" s="128"/>
      <c r="H15" s="128"/>
      <c r="I15" s="39"/>
      <c r="L15" s="38" t="s">
        <v>35</v>
      </c>
    </row>
    <row r="16" spans="2:15" ht="18.75" customHeight="1">
      <c r="B16" s="164" t="s">
        <v>100</v>
      </c>
      <c r="C16" s="114"/>
      <c r="D16" s="114"/>
      <c r="E16" s="122" t="s">
        <v>101</v>
      </c>
      <c r="F16" s="131"/>
      <c r="G16" s="128"/>
      <c r="H16" s="128"/>
      <c r="I16" s="39"/>
      <c r="L16" s="38" t="s">
        <v>101</v>
      </c>
    </row>
    <row r="17" spans="1:12" ht="13.5" customHeight="1">
      <c r="B17" s="110"/>
      <c r="C17" s="114"/>
      <c r="D17" s="114"/>
      <c r="E17" s="132"/>
      <c r="F17" s="131"/>
      <c r="G17" s="128"/>
      <c r="H17" s="128"/>
      <c r="I17" s="39"/>
      <c r="L17" s="38" t="s">
        <v>102</v>
      </c>
    </row>
    <row r="18" spans="1:12" ht="30.75" customHeight="1">
      <c r="B18" s="111" t="str">
        <f>IF(E16="No","Fecha de Apertura",IF(E16="Sí","Última fecha de renovación","-"))</f>
        <v>Última fecha de renovación</v>
      </c>
      <c r="C18" s="114"/>
      <c r="D18" s="114"/>
      <c r="E18" s="123"/>
      <c r="F18" s="131"/>
      <c r="G18" s="128"/>
      <c r="H18" s="128"/>
      <c r="I18" s="39"/>
    </row>
    <row r="19" spans="1:12" ht="10.5" customHeight="1">
      <c r="B19" s="108"/>
      <c r="C19" s="114"/>
      <c r="D19" s="114"/>
      <c r="E19" s="133"/>
      <c r="F19" s="131"/>
      <c r="G19" s="128"/>
      <c r="H19" s="128"/>
      <c r="I19" s="39"/>
    </row>
    <row r="20" spans="1:12" ht="20.25" customHeight="1">
      <c r="B20" s="108" t="s">
        <v>95</v>
      </c>
      <c r="C20" s="114"/>
      <c r="D20" s="114"/>
      <c r="E20" s="122" t="s">
        <v>96</v>
      </c>
      <c r="F20" s="127"/>
      <c r="G20" s="128"/>
      <c r="H20" s="128"/>
      <c r="I20" s="134"/>
      <c r="J20" s="88"/>
    </row>
    <row r="21" spans="1:12" ht="12" customHeight="1">
      <c r="B21" s="115"/>
      <c r="C21" s="112"/>
      <c r="D21" s="112"/>
      <c r="E21" s="112"/>
      <c r="F21" s="112"/>
      <c r="G21" s="116"/>
      <c r="H21" s="116"/>
    </row>
    <row r="22" spans="1:12" ht="6" customHeight="1"/>
    <row r="23" spans="1:12" ht="15.75" customHeight="1">
      <c r="B23" s="234" t="s">
        <v>41</v>
      </c>
      <c r="C23" s="235"/>
      <c r="D23" s="235"/>
      <c r="E23" s="236"/>
      <c r="F23" s="43"/>
    </row>
    <row r="24" spans="1:12" ht="15.75" customHeight="1">
      <c r="B24" s="228" t="s">
        <v>97</v>
      </c>
      <c r="C24" s="229"/>
      <c r="D24" s="229"/>
      <c r="E24" s="104" t="s">
        <v>32</v>
      </c>
      <c r="F24" s="43"/>
    </row>
    <row r="25" spans="1:12" ht="15.5">
      <c r="A25" s="98"/>
      <c r="B25" s="228" t="str">
        <f>IF(E16="No","Monto Original",IF(E16="Sí","Monto Original de la última renovación","-"))</f>
        <v>Monto Original de la última renovación</v>
      </c>
      <c r="C25" s="229"/>
      <c r="D25" s="229"/>
      <c r="E25" s="105"/>
      <c r="F25" s="44"/>
      <c r="K25" s="38"/>
      <c r="L25" s="9"/>
    </row>
    <row r="26" spans="1:12" ht="15.5">
      <c r="A26" s="98"/>
      <c r="B26" s="139" t="s">
        <v>104</v>
      </c>
      <c r="C26" s="140"/>
      <c r="D26" s="140"/>
      <c r="E26" s="141"/>
      <c r="F26" s="44"/>
      <c r="K26" s="38"/>
      <c r="L26" s="9"/>
    </row>
    <row r="27" spans="1:12" ht="15.5">
      <c r="B27" s="228" t="str">
        <f>IF(E16="No","Plazo de apertura (en días)",IF(E16="Sí","Plazo de la última renovación (en días)","-"))</f>
        <v>Plazo de la última renovación (en días)</v>
      </c>
      <c r="C27" s="229"/>
      <c r="D27" s="229"/>
      <c r="E27" s="106"/>
      <c r="F27" s="44"/>
      <c r="K27" s="38"/>
      <c r="L27" s="9"/>
    </row>
    <row r="28" spans="1:12" ht="15.5">
      <c r="B28" s="135" t="s">
        <v>103</v>
      </c>
      <c r="C28" s="157"/>
      <c r="D28" s="157"/>
      <c r="E28" s="136"/>
      <c r="F28" s="44"/>
      <c r="K28" s="38"/>
      <c r="L28" s="9"/>
    </row>
    <row r="29" spans="1:12" ht="15.5">
      <c r="B29" s="237" t="s">
        <v>43</v>
      </c>
      <c r="C29" s="238"/>
      <c r="D29" s="238"/>
      <c r="E29" s="159">
        <f>E28-E18</f>
        <v>0</v>
      </c>
      <c r="F29" s="44"/>
      <c r="G29" s="89"/>
      <c r="H29" s="89"/>
      <c r="K29" s="38"/>
      <c r="L29" s="9"/>
    </row>
    <row r="30" spans="1:12" ht="15.5">
      <c r="B30" s="239" t="s">
        <v>44</v>
      </c>
      <c r="C30" s="240"/>
      <c r="D30" s="240"/>
      <c r="E30" s="107"/>
      <c r="F30" s="44"/>
      <c r="K30" s="38"/>
      <c r="L30" s="9"/>
    </row>
    <row r="31" spans="1:12" ht="16.5" customHeight="1">
      <c r="B31" s="45"/>
      <c r="C31" s="45"/>
      <c r="D31" s="45"/>
      <c r="E31" s="46"/>
      <c r="F31" s="44"/>
      <c r="K31" s="38"/>
      <c r="L31" s="9"/>
    </row>
    <row r="32" spans="1:12" ht="16.5" customHeight="1">
      <c r="B32" s="137" t="str">
        <f>'Tabla de Penalización DPF'!D50</f>
        <v>Intereses acumulados a 0 días</v>
      </c>
      <c r="C32" s="138"/>
      <c r="D32" s="138"/>
      <c r="E32" s="161">
        <f>IF(E20="Crédito a cuenta",(+E25*E30/360*E29),IF(E20="Capitalizado",(E26-E25),""))</f>
        <v>0</v>
      </c>
      <c r="F32" s="90"/>
      <c r="K32" s="38"/>
      <c r="L32" s="9"/>
    </row>
    <row r="33" spans="1:17" ht="16.5" customHeight="1">
      <c r="B33" s="102"/>
      <c r="C33" s="103"/>
      <c r="D33" s="103"/>
      <c r="E33" s="142"/>
      <c r="F33" s="90"/>
      <c r="K33" s="38"/>
      <c r="L33" s="9"/>
    </row>
    <row r="34" spans="1:17" ht="16.5" customHeight="1">
      <c r="B34" s="97" t="s">
        <v>99</v>
      </c>
      <c r="C34" s="92"/>
      <c r="D34" s="92"/>
      <c r="E34" s="162" t="str">
        <f>IFERROR('Tabla de Penalización DPF'!G48,"")</f>
        <v/>
      </c>
      <c r="F34" s="44"/>
      <c r="K34" s="38"/>
      <c r="L34" s="9"/>
    </row>
    <row r="35" spans="1:17" ht="16.5" customHeight="1">
      <c r="B35" s="97" t="s">
        <v>98</v>
      </c>
      <c r="C35" s="93"/>
      <c r="D35" s="94"/>
      <c r="E35" s="163" t="str">
        <f>IFERROR(-(E32*E34),"")</f>
        <v/>
      </c>
      <c r="F35" s="44"/>
      <c r="K35" s="38"/>
      <c r="L35" s="9"/>
    </row>
    <row r="36" spans="1:17" ht="16.5" customHeight="1">
      <c r="B36" s="45"/>
      <c r="C36" s="45"/>
      <c r="D36" s="45"/>
      <c r="E36" s="124"/>
      <c r="F36" s="44"/>
      <c r="K36" s="38"/>
      <c r="L36" s="9"/>
    </row>
    <row r="37" spans="1:17" ht="17.25" hidden="1" customHeight="1">
      <c r="A37" s="44"/>
      <c r="B37" s="99" t="s">
        <v>45</v>
      </c>
      <c r="C37" s="100"/>
      <c r="D37" s="101"/>
      <c r="E37" s="125" t="e">
        <f>IF(E20=L13,(E25-#REF!+E35),IF(E20=L12,(E25+E35),""))</f>
        <v>#VALUE!</v>
      </c>
      <c r="G37" s="47"/>
      <c r="H37" s="39"/>
    </row>
    <row r="38" spans="1:17" ht="14">
      <c r="B38" s="44"/>
      <c r="C38" s="44"/>
      <c r="D38" s="44"/>
      <c r="E38" s="95"/>
      <c r="F38" s="44"/>
      <c r="G38" s="44"/>
      <c r="H38" s="48"/>
    </row>
    <row r="39" spans="1:17" ht="14">
      <c r="E39" s="96"/>
      <c r="H39" s="48"/>
    </row>
    <row r="40" spans="1:17" ht="15.5">
      <c r="B40" s="241" t="s">
        <v>46</v>
      </c>
      <c r="C40" s="241"/>
      <c r="D40" s="241"/>
      <c r="E40" s="126" t="s">
        <v>35</v>
      </c>
    </row>
    <row r="41" spans="1:17" ht="6.75" customHeight="1">
      <c r="B41" s="49"/>
      <c r="C41" s="49"/>
      <c r="D41" s="49"/>
      <c r="E41" s="49"/>
    </row>
    <row r="42" spans="1:17" ht="15.5">
      <c r="B42" s="242" t="s">
        <v>47</v>
      </c>
      <c r="C42" s="242"/>
      <c r="D42" s="87"/>
      <c r="E42" s="148"/>
    </row>
    <row r="43" spans="1:17" ht="15.5">
      <c r="B43" s="50"/>
      <c r="C43" s="50"/>
      <c r="D43" s="49"/>
      <c r="E43" s="42"/>
    </row>
    <row r="44" spans="1:17" ht="14"/>
    <row r="45" spans="1:17" ht="14">
      <c r="B45" s="118" t="s">
        <v>48</v>
      </c>
    </row>
    <row r="46" spans="1:17" ht="14">
      <c r="B46" s="248"/>
      <c r="C46" s="248"/>
      <c r="D46" s="248"/>
      <c r="E46" s="248"/>
      <c r="F46" s="248"/>
      <c r="G46" s="248"/>
      <c r="H46" s="248"/>
    </row>
    <row r="47" spans="1:17" ht="14">
      <c r="B47" s="248"/>
      <c r="C47" s="248"/>
      <c r="D47" s="248"/>
      <c r="E47" s="248"/>
      <c r="F47" s="248"/>
      <c r="G47" s="248"/>
      <c r="H47" s="248"/>
    </row>
    <row r="48" spans="1:17" ht="14">
      <c r="B48" s="248"/>
      <c r="C48" s="248"/>
      <c r="D48" s="248"/>
      <c r="E48" s="248"/>
      <c r="F48" s="248"/>
      <c r="G48" s="248"/>
      <c r="H48" s="248"/>
      <c r="O48" s="244"/>
      <c r="P48" s="244"/>
      <c r="Q48" s="244"/>
    </row>
    <row r="49" spans="2:12" ht="14">
      <c r="L49" s="9"/>
    </row>
    <row r="50" spans="2:12" ht="14">
      <c r="L50" s="9"/>
    </row>
    <row r="51" spans="2:12" ht="14">
      <c r="L51" s="9"/>
    </row>
    <row r="52" spans="2:12" ht="14">
      <c r="L52" s="9"/>
    </row>
    <row r="53" spans="2:12" ht="14">
      <c r="L53" s="9"/>
    </row>
    <row r="54" spans="2:12" ht="14">
      <c r="E54" s="245"/>
      <c r="F54" s="245"/>
      <c r="L54" s="9"/>
    </row>
    <row r="55" spans="2:12" ht="14">
      <c r="L55" s="9"/>
    </row>
    <row r="56" spans="2:12" ht="14">
      <c r="L56" s="9"/>
    </row>
    <row r="57" spans="2:12" ht="14">
      <c r="L57" s="9"/>
    </row>
    <row r="58" spans="2:12" ht="14">
      <c r="L58" s="9"/>
    </row>
    <row r="59" spans="2:12" ht="14">
      <c r="L59" s="9"/>
    </row>
    <row r="60" spans="2:12" ht="14">
      <c r="L60" s="9"/>
    </row>
    <row r="61" spans="2:12" ht="26.25" customHeight="1">
      <c r="E61" s="52"/>
      <c r="F61" s="51"/>
      <c r="L61" s="9"/>
    </row>
    <row r="62" spans="2:12" ht="14">
      <c r="L62" s="9"/>
    </row>
    <row r="63" spans="2:12" ht="14">
      <c r="L63" s="9"/>
    </row>
    <row r="64" spans="2:12" ht="14">
      <c r="B64" s="246" t="s">
        <v>49</v>
      </c>
      <c r="C64" s="246"/>
      <c r="D64" s="246"/>
      <c r="E64" s="246"/>
      <c r="F64" s="246"/>
      <c r="G64" s="246"/>
      <c r="H64" s="246"/>
      <c r="L64" s="9"/>
    </row>
    <row r="65" spans="2:12" ht="14">
      <c r="L65" s="9"/>
    </row>
    <row r="66" spans="2:12" ht="15.5">
      <c r="B66" s="119" t="s">
        <v>50</v>
      </c>
      <c r="C66" s="120"/>
      <c r="D66" s="120"/>
      <c r="L66" s="9"/>
    </row>
    <row r="67" spans="2:12" ht="5.25" customHeight="1">
      <c r="B67" s="120"/>
      <c r="C67" s="120"/>
      <c r="D67" s="120"/>
      <c r="L67" s="9"/>
    </row>
    <row r="68" spans="2:12" ht="15.5">
      <c r="B68" s="119" t="s">
        <v>51</v>
      </c>
      <c r="C68" s="247" t="str">
        <f>E24</f>
        <v>DOP</v>
      </c>
      <c r="D68" s="247"/>
      <c r="L68" s="9"/>
    </row>
    <row r="69" spans="2:12" ht="9.75" customHeight="1">
      <c r="B69" s="119"/>
      <c r="C69" s="121"/>
      <c r="D69" s="121"/>
      <c r="L69" s="9"/>
    </row>
    <row r="70" spans="2:12" ht="14.25" customHeight="1">
      <c r="B70" s="119" t="s">
        <v>52</v>
      </c>
      <c r="C70" s="243">
        <f>VLOOKUP(C68,K1:L4,2,0)</f>
        <v>4239910101050000</v>
      </c>
      <c r="D70" s="243"/>
      <c r="E70" s="243"/>
      <c r="L70" s="9"/>
    </row>
    <row r="71" spans="2:12" ht="15" customHeight="1">
      <c r="L71" s="9"/>
    </row>
    <row r="72" spans="2:12" ht="14" hidden="1">
      <c r="L72" s="9"/>
    </row>
  </sheetData>
  <sheetProtection algorithmName="SHA-512" hashValue="tE5oF+Q1Zb26emlA9U+xK1T4PToBRc1DbPgzyjQeLLYTj5Ed80fYnBOlIyMN7j/izF3Ng5Kw7Ya3h4Cjcy1NpA==" saltValue="bD21eqFBla3efAH92AZ+2Q==" spinCount="100000" sheet="1" formatCells="0" formatColumns="0" formatRows="0"/>
  <mergeCells count="19">
    <mergeCell ref="C70:E70"/>
    <mergeCell ref="O48:Q48"/>
    <mergeCell ref="E54:F54"/>
    <mergeCell ref="B64:H64"/>
    <mergeCell ref="C68:D68"/>
    <mergeCell ref="B46:H48"/>
    <mergeCell ref="B27:D27"/>
    <mergeCell ref="B29:D29"/>
    <mergeCell ref="B30:D30"/>
    <mergeCell ref="B40:D40"/>
    <mergeCell ref="B42:C42"/>
    <mergeCell ref="G2:H2"/>
    <mergeCell ref="B25:D25"/>
    <mergeCell ref="B5:H5"/>
    <mergeCell ref="B6:H6"/>
    <mergeCell ref="E10:H10"/>
    <mergeCell ref="F14:G14"/>
    <mergeCell ref="B23:E23"/>
    <mergeCell ref="B24:D24"/>
  </mergeCells>
  <conditionalFormatting sqref="B42:E42">
    <cfRule type="expression" dxfId="15" priority="9">
      <formula>$E$40="Crédito a cuenta"</formula>
    </cfRule>
  </conditionalFormatting>
  <conditionalFormatting sqref="E42">
    <cfRule type="expression" dxfId="14" priority="8">
      <formula>$E$40="Crédito a cuenta"</formula>
    </cfRule>
  </conditionalFormatting>
  <conditionalFormatting sqref="B26:E26">
    <cfRule type="expression" dxfId="13" priority="1">
      <formula>$E$20="Capitalizado"</formula>
    </cfRule>
  </conditionalFormatting>
  <dataValidations xWindow="526" yWindow="438" count="14">
    <dataValidation type="whole" allowBlank="1" showInputMessage="1" showErrorMessage="1" sqref="I20">
      <formula1>1</formula1>
      <formula2>31</formula2>
    </dataValidation>
    <dataValidation allowBlank="1" showErrorMessage="1" prompt="Estos dias son basados para cancelar el DPF al dia de hoy. En caso de que se requiera estimar la comisión aplicable a futuro, digita aquí el plazo en días correspondiente." sqref="E29"/>
    <dataValidation type="list" allowBlank="1" showInputMessage="1" showErrorMessage="1" sqref="C69">
      <formula1>$K$3:$K$4</formula1>
    </dataValidation>
    <dataValidation type="list" allowBlank="1" showInputMessage="1" showErrorMessage="1" sqref="E40">
      <formula1>$L$7:$L$9</formula1>
    </dataValidation>
    <dataValidation type="list" allowBlank="1" showInputMessage="1" showErrorMessage="1" sqref="E20">
      <formula1>$L$11:$L$13</formula1>
    </dataValidation>
    <dataValidation type="list" allowBlank="1" showInputMessage="1" showErrorMessage="1" sqref="E24">
      <formula1>$K$1:$K$4</formula1>
    </dataValidation>
    <dataValidation type="whole" allowBlank="1" showInputMessage="1" showErrorMessage="1" sqref="E27">
      <formula1>30</formula1>
      <formula2>1800</formula2>
    </dataValidation>
    <dataValidation type="date" allowBlank="1" showErrorMessage="1" prompt="Se debe insertar la última fecha de renovación del DPF. _x000a__x000a_En caso de que el DPF no haya tenido ninguna renovación se deberá digitar la fecha de apertura." sqref="E18">
      <formula1>40179</formula1>
      <formula2>73050</formula2>
    </dataValidation>
    <dataValidation allowBlank="1" showInputMessage="1" showErrorMessage="1" prompt="Digite aquí la cantidad de intereses generados desde la última fecha de renovación. Si no se ha renovado, digite la cantidad generada desde su apertura." sqref="E33"/>
    <dataValidation type="decimal" operator="greaterThan" allowBlank="1" showInputMessage="1" showErrorMessage="1" prompt="SI NO HA RENOVADO_x000a_Este monto viene del IBS del campo &quot;Monto Original&quot; de la pantalla &quot;Consulta de Saldos&quot;_x000a__x000a_SI HA RENOVADO_x000a_Este monto viene del IBS de la Opción &quot;Analisis de Intereses&quot; a la fecha de la ultima renovación." sqref="E25">
      <formula1>0</formula1>
    </dataValidation>
    <dataValidation type="list" allowBlank="1" showInputMessage="1" showErrorMessage="1" sqref="E16">
      <formula1>$L$15:$L$17</formula1>
    </dataValidation>
    <dataValidation allowBlank="1" showErrorMessage="1" prompt="Digite aquí la cantidad de intereses generados desde la última fecha de renovación. Si no se ha renovado, digite la cantidad generada desde su apertura." sqref="E32"/>
    <dataValidation type="date" allowBlank="1" showInputMessage="1" showErrorMessage="1" sqref="E28">
      <formula1>40179</formula1>
      <formula2>73050</formula2>
    </dataValidation>
    <dataValidation type="decimal" operator="greaterThan" allowBlank="1" showInputMessage="1" showErrorMessage="1" prompt="Este monto viene del IBS del campo &quot;Saldo Actual&quot; de la pantalla &quot;Consulta de Saldos&quot;" sqref="E26">
      <formula1>0</formula1>
    </dataValidation>
  </dataValidations>
  <pageMargins left="0.7" right="0.7" top="0.75" bottom="0.75" header="0.3" footer="0.3"/>
  <pageSetup scale="60" orientation="portrait" r:id="rId1"/>
  <headerFooter>
    <oddFooter>&amp;C&amp;K0095D5Uso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128"/>
  <sheetViews>
    <sheetView zoomScaleNormal="100" workbookViewId="0">
      <selection sqref="A1:G1"/>
    </sheetView>
  </sheetViews>
  <sheetFormatPr baseColWidth="10" defaultRowHeight="14.5"/>
  <cols>
    <col min="1" max="1" width="25.453125" customWidth="1"/>
    <col min="7" max="7" width="26.1796875" customWidth="1"/>
    <col min="8" max="8" width="11.81640625" bestFit="1" customWidth="1"/>
    <col min="9" max="9" width="12.81640625" customWidth="1"/>
    <col min="10" max="10" width="13.81640625" customWidth="1"/>
  </cols>
  <sheetData>
    <row r="1" spans="1:10">
      <c r="A1" s="250" t="s">
        <v>9</v>
      </c>
      <c r="B1" s="250"/>
      <c r="C1" s="250"/>
      <c r="D1" s="250"/>
      <c r="E1" s="250"/>
      <c r="F1" s="250"/>
      <c r="G1" s="250"/>
      <c r="J1" t="s">
        <v>115</v>
      </c>
    </row>
    <row r="2" spans="1:10">
      <c r="A2" s="14">
        <v>43191</v>
      </c>
      <c r="B2" s="13" t="s">
        <v>18</v>
      </c>
      <c r="J2" t="s">
        <v>116</v>
      </c>
    </row>
    <row r="3" spans="1:10">
      <c r="A3" s="1">
        <v>0.15</v>
      </c>
      <c r="B3" t="s">
        <v>6</v>
      </c>
    </row>
    <row r="4" spans="1:10">
      <c r="A4" s="2">
        <v>3.5000000000000003E-2</v>
      </c>
      <c r="B4" t="s">
        <v>7</v>
      </c>
    </row>
    <row r="5" spans="1:10">
      <c r="A5" s="2">
        <v>0.03</v>
      </c>
      <c r="B5" t="s">
        <v>8</v>
      </c>
    </row>
    <row r="7" spans="1:10">
      <c r="A7" s="250" t="s">
        <v>10</v>
      </c>
      <c r="B7" s="250"/>
      <c r="C7" s="250"/>
      <c r="D7" s="250"/>
      <c r="E7" s="250"/>
      <c r="F7" s="250"/>
      <c r="G7" s="250"/>
    </row>
    <row r="8" spans="1:10">
      <c r="A8" s="1">
        <v>0.15</v>
      </c>
      <c r="B8" t="s">
        <v>6</v>
      </c>
    </row>
    <row r="9" spans="1:10">
      <c r="A9" s="2">
        <v>0.03</v>
      </c>
      <c r="B9" t="s">
        <v>118</v>
      </c>
    </row>
    <row r="11" spans="1:10">
      <c r="A11" s="249" t="s">
        <v>31</v>
      </c>
      <c r="B11" s="249"/>
      <c r="C11" s="249"/>
      <c r="D11" s="249"/>
      <c r="E11" s="249"/>
      <c r="F11" s="249"/>
      <c r="G11" s="249"/>
    </row>
    <row r="12" spans="1:10">
      <c r="A12" s="250" t="s">
        <v>17</v>
      </c>
      <c r="B12" s="250"/>
      <c r="C12" s="250"/>
      <c r="D12" s="250"/>
      <c r="E12" s="250"/>
      <c r="F12" s="250"/>
      <c r="G12" s="250"/>
    </row>
    <row r="13" spans="1:10">
      <c r="A13" t="e">
        <f>IF(#REF!=#REF!,"Cancelación","Abono")</f>
        <v>#REF!</v>
      </c>
    </row>
    <row r="15" spans="1:10">
      <c r="A15" s="250" t="s">
        <v>19</v>
      </c>
      <c r="B15" s="250"/>
      <c r="C15" s="250"/>
      <c r="D15" s="250"/>
      <c r="E15" s="250"/>
      <c r="F15" s="250"/>
      <c r="G15" s="250"/>
    </row>
    <row r="16" spans="1:10">
      <c r="A16" t="e">
        <f>IF(AND(A13="Abono",(#REF!&lt;A2)),"Abono sin Comisión","Abono con Comisión por Fecha")</f>
        <v>#REF!</v>
      </c>
    </row>
    <row r="17" spans="1:10">
      <c r="I17" s="13"/>
    </row>
    <row r="18" spans="1:10">
      <c r="A18" s="250" t="s">
        <v>20</v>
      </c>
      <c r="B18" s="250"/>
      <c r="C18" s="250"/>
      <c r="D18" s="250"/>
      <c r="E18" s="250"/>
      <c r="F18" s="250"/>
      <c r="G18" s="250"/>
      <c r="I18" s="15" t="s">
        <v>25</v>
      </c>
      <c r="J18" s="12"/>
    </row>
    <row r="19" spans="1:10">
      <c r="A19" t="e">
        <f>IF(AND(A16="Abono con Comisión por Fecha",#REF!&gt;=(#REF!*Premisas!A3)),"Abono con Comisión por 15% Capital Adeudado","No aplica comisión por 15% Capital Adeudado")</f>
        <v>#REF!</v>
      </c>
      <c r="I19" s="251" t="e">
        <f>DAYS360(#REF!,#REF!)</f>
        <v>#REF!</v>
      </c>
      <c r="J19" s="251"/>
    </row>
    <row r="20" spans="1:10">
      <c r="H20" s="13"/>
    </row>
    <row r="21" spans="1:10">
      <c r="A21" s="250" t="s">
        <v>24</v>
      </c>
      <c r="B21" s="250"/>
      <c r="C21" s="250"/>
      <c r="D21" s="250"/>
      <c r="E21" s="250"/>
      <c r="F21" s="250"/>
      <c r="G21" s="250"/>
      <c r="H21" s="13"/>
      <c r="I21" s="15" t="s">
        <v>26</v>
      </c>
      <c r="J21" s="12"/>
    </row>
    <row r="22" spans="1:10">
      <c r="A22" t="e">
        <f>IF(I19&gt;Premisas!I23,"No Aplica Comisión por Tiempo Transcurrido","Aplica Comisión por Tiempo Transcurrido")</f>
        <v>#REF!</v>
      </c>
      <c r="H22" s="13"/>
      <c r="I22" s="17">
        <f>360</f>
        <v>360</v>
      </c>
      <c r="J22" t="s">
        <v>22</v>
      </c>
    </row>
    <row r="23" spans="1:10">
      <c r="H23" s="13"/>
      <c r="I23" s="17">
        <f>360*2</f>
        <v>720</v>
      </c>
      <c r="J23" t="s">
        <v>23</v>
      </c>
    </row>
    <row r="24" spans="1:10">
      <c r="A24" s="250" t="s">
        <v>21</v>
      </c>
      <c r="B24" s="250"/>
      <c r="C24" s="250"/>
      <c r="D24" s="250"/>
      <c r="E24" s="250"/>
      <c r="F24" s="250"/>
      <c r="G24" s="250"/>
      <c r="H24" s="13"/>
      <c r="I24" s="17">
        <f>I22+30</f>
        <v>390</v>
      </c>
      <c r="J24" t="s">
        <v>30</v>
      </c>
    </row>
    <row r="25" spans="1:10">
      <c r="A25" t="e">
        <f>IF(AND(A13="Abono",A16="Abono con Comisión por Fecha",A19="Abono con Comisión por 15% Capital Adeudado",A22="Aplica Comisión por Tiempo Transcurrido"),"Verdadero","Falso")</f>
        <v>#REF!</v>
      </c>
    </row>
    <row r="27" spans="1:10">
      <c r="A27" s="250" t="s">
        <v>27</v>
      </c>
      <c r="B27" s="250"/>
      <c r="C27" s="250"/>
      <c r="D27" s="250"/>
      <c r="E27" s="250"/>
      <c r="F27" s="250"/>
      <c r="G27" s="250"/>
    </row>
    <row r="28" spans="1:10">
      <c r="A28" s="18" t="e">
        <f>IF(AND(A25="VERDADERO",(I19&lt;=I22)),"Aplica un 3.5% del Abono",IF(AND(A25="VERDADERO",(I19&lt;I23)),"Aplica un 3% del Abono","No Aplica Comisión por Abono"))</f>
        <v>#REF!</v>
      </c>
      <c r="B28" s="18"/>
      <c r="C28" s="18"/>
      <c r="D28" s="18"/>
      <c r="E28" s="18"/>
      <c r="F28" s="18"/>
      <c r="G28" s="18"/>
    </row>
    <row r="29" spans="1:10">
      <c r="A29" s="16"/>
      <c r="B29" s="16"/>
      <c r="C29" s="16"/>
      <c r="D29" s="16"/>
      <c r="E29" s="16"/>
      <c r="F29" s="16"/>
      <c r="G29" s="16"/>
    </row>
    <row r="30" spans="1:10">
      <c r="A30" s="250" t="s">
        <v>28</v>
      </c>
      <c r="B30" s="250"/>
      <c r="C30" s="250"/>
      <c r="D30" s="250"/>
      <c r="E30" s="250"/>
      <c r="F30" s="250"/>
      <c r="G30" s="250"/>
    </row>
    <row r="31" spans="1:10">
      <c r="A31" s="16" t="e">
        <f>IF(AND(A13="Cancelación",Premisas!I19&lt;I23),"Aplica Comisión por Cancelación","No Aplica Comisión por Cancelación")</f>
        <v>#REF!</v>
      </c>
      <c r="B31" s="16"/>
      <c r="C31" s="16"/>
      <c r="D31" s="16"/>
      <c r="E31" s="16"/>
      <c r="F31" s="16"/>
      <c r="G31" s="16"/>
    </row>
    <row r="32" spans="1:10">
      <c r="A32" s="16"/>
      <c r="B32" s="16"/>
      <c r="C32" s="16"/>
      <c r="D32" s="16"/>
      <c r="E32" s="16"/>
      <c r="F32" s="16"/>
      <c r="G32" s="16"/>
    </row>
    <row r="33" spans="1:10">
      <c r="A33" s="250" t="s">
        <v>29</v>
      </c>
      <c r="B33" s="250"/>
      <c r="C33" s="250"/>
      <c r="D33" s="250"/>
      <c r="E33" s="250"/>
      <c r="F33" s="250"/>
      <c r="G33" s="250"/>
    </row>
    <row r="34" spans="1:10">
      <c r="A34" s="18" t="e">
        <f>IF(AND(A31="Aplica Comisión por Cancelación",I19&lt;I24),"Aplica un 3.5% Comisión Cancelación",IF(AND(A31="Aplica Comisión por Cancelación",I19&lt;I23),"Aplica 3% Comisión Cancelación","No Aplica Comisión por Cancelación"))</f>
        <v>#REF!</v>
      </c>
      <c r="B34" s="18"/>
      <c r="C34" s="18"/>
      <c r="D34" s="18"/>
      <c r="E34" s="18"/>
      <c r="F34" s="18"/>
      <c r="G34" s="18"/>
    </row>
    <row r="36" spans="1:10">
      <c r="A36" s="249" t="s">
        <v>2</v>
      </c>
      <c r="B36" s="249"/>
      <c r="C36" s="249"/>
      <c r="D36" s="249"/>
      <c r="E36" s="249"/>
      <c r="F36" s="249"/>
      <c r="G36" s="249"/>
    </row>
    <row r="37" spans="1:10">
      <c r="A37" s="250" t="s">
        <v>17</v>
      </c>
      <c r="B37" s="250"/>
      <c r="C37" s="250"/>
      <c r="D37" s="250"/>
      <c r="E37" s="250"/>
      <c r="F37" s="250"/>
      <c r="G37" s="250"/>
    </row>
    <row r="38" spans="1:10">
      <c r="A38" t="e">
        <f>IF(#REF!=#REF!,"Cancelación","Abono")</f>
        <v>#REF!</v>
      </c>
    </row>
    <row r="40" spans="1:10">
      <c r="A40" s="250" t="s">
        <v>19</v>
      </c>
      <c r="B40" s="250"/>
      <c r="C40" s="250"/>
      <c r="D40" s="250"/>
      <c r="E40" s="250"/>
      <c r="F40" s="250"/>
      <c r="G40" s="250"/>
    </row>
    <row r="41" spans="1:10">
      <c r="A41" t="e">
        <f>IF(AND(A38="Abono",(#REF!&lt;A2)),"Abono sin Comisión","Abono con Comisión por Fecha")</f>
        <v>#REF!</v>
      </c>
    </row>
    <row r="43" spans="1:10">
      <c r="A43" s="250" t="s">
        <v>20</v>
      </c>
      <c r="B43" s="250"/>
      <c r="C43" s="250"/>
      <c r="D43" s="250"/>
      <c r="E43" s="250"/>
      <c r="F43" s="250"/>
      <c r="G43" s="250"/>
      <c r="I43" s="15" t="s">
        <v>25</v>
      </c>
      <c r="J43" s="12"/>
    </row>
    <row r="44" spans="1:10">
      <c r="A44" t="e">
        <f>IF(AND(A16="Abono con Comisión por Fecha",#REF!&gt;=(#REF!*Premisas!A3)),"Abono con Comisión por 15% Capital Adeudado","No aplica comisión por 15% Capital Adeudado")</f>
        <v>#REF!</v>
      </c>
      <c r="I44" s="251" t="e">
        <f>DAYS360(#REF!,#REF!)</f>
        <v>#REF!</v>
      </c>
      <c r="J44" s="251"/>
    </row>
    <row r="46" spans="1:10">
      <c r="A46" s="250" t="s">
        <v>24</v>
      </c>
      <c r="B46" s="250"/>
      <c r="C46" s="250"/>
      <c r="D46" s="250"/>
      <c r="E46" s="250"/>
      <c r="F46" s="250"/>
      <c r="G46" s="250"/>
      <c r="I46" s="15" t="s">
        <v>26</v>
      </c>
      <c r="J46" s="12"/>
    </row>
    <row r="47" spans="1:10">
      <c r="A47" t="e">
        <f>IF(I44&gt;Premisas!I50,"No Aplica Comisión por Tiempo Transcurrido","Aplica Comisión por Tiempo Transcurrido")</f>
        <v>#REF!</v>
      </c>
      <c r="I47" s="17">
        <f>360</f>
        <v>360</v>
      </c>
      <c r="J47" t="s">
        <v>22</v>
      </c>
    </row>
    <row r="48" spans="1:10">
      <c r="I48" s="17">
        <f>360*2</f>
        <v>720</v>
      </c>
      <c r="J48" t="s">
        <v>23</v>
      </c>
    </row>
    <row r="49" spans="1:10">
      <c r="A49" s="250" t="s">
        <v>21</v>
      </c>
      <c r="B49" s="250"/>
      <c r="C49" s="250"/>
      <c r="D49" s="250"/>
      <c r="E49" s="250"/>
      <c r="F49" s="250"/>
      <c r="G49" s="250"/>
      <c r="I49" s="17">
        <f>I47+30</f>
        <v>390</v>
      </c>
      <c r="J49" t="s">
        <v>30</v>
      </c>
    </row>
    <row r="50" spans="1:10">
      <c r="A50" t="e">
        <f>IF(AND(A38="Abono",A41="Abono con Comisión por Fecha",A44="Abono con Comisión por 15% Capital Adeudado",A47="Aplica Comisión por Tiempo Transcurrido"),"Verdadero","Falso")</f>
        <v>#REF!</v>
      </c>
      <c r="I50" s="17">
        <v>1080</v>
      </c>
      <c r="J50" t="s">
        <v>119</v>
      </c>
    </row>
    <row r="52" spans="1:10">
      <c r="A52" s="250" t="s">
        <v>27</v>
      </c>
      <c r="B52" s="250"/>
      <c r="C52" s="250"/>
      <c r="D52" s="250"/>
      <c r="E52" s="250"/>
      <c r="F52" s="250"/>
      <c r="G52" s="250"/>
    </row>
    <row r="53" spans="1:10">
      <c r="A53" s="18" t="e">
        <f>IF(AND(A50="VERDADERO",(I44&lt;=I50)),"Aplica un 0% del Abono","No Aplica Comisión por Abono")</f>
        <v>#REF!</v>
      </c>
      <c r="B53" s="18"/>
      <c r="C53" s="18"/>
      <c r="D53" s="18"/>
      <c r="E53" s="18"/>
      <c r="F53" s="18"/>
      <c r="G53" s="18"/>
    </row>
    <row r="54" spans="1:10">
      <c r="A54" s="16"/>
      <c r="B54" s="16"/>
      <c r="C54" s="16"/>
      <c r="D54" s="16"/>
      <c r="E54" s="16"/>
      <c r="F54" s="16"/>
      <c r="G54" s="16"/>
    </row>
    <row r="55" spans="1:10">
      <c r="A55" s="250" t="s">
        <v>28</v>
      </c>
      <c r="B55" s="250"/>
      <c r="C55" s="250"/>
      <c r="D55" s="250"/>
      <c r="E55" s="250"/>
      <c r="F55" s="250"/>
      <c r="G55" s="250"/>
    </row>
    <row r="56" spans="1:10">
      <c r="A56" s="16" t="e">
        <f>IF(AND(A38="Cancelación",Premisas!I44&lt;=I50),"Aplica Comisión por Cancelación","No Aplica Comisión por Cancelación")</f>
        <v>#REF!</v>
      </c>
      <c r="B56" s="16"/>
      <c r="C56" s="16"/>
      <c r="D56" s="16"/>
      <c r="E56" s="16"/>
      <c r="F56" s="16"/>
      <c r="G56" s="16"/>
    </row>
    <row r="57" spans="1:10">
      <c r="A57" s="16"/>
      <c r="B57" s="16"/>
      <c r="C57" s="16"/>
      <c r="D57" s="16"/>
      <c r="E57" s="16"/>
      <c r="F57" s="16"/>
      <c r="G57" s="16"/>
    </row>
    <row r="58" spans="1:10">
      <c r="A58" s="250" t="s">
        <v>29</v>
      </c>
      <c r="B58" s="250"/>
      <c r="C58" s="250"/>
      <c r="D58" s="250"/>
      <c r="E58" s="250"/>
      <c r="F58" s="250"/>
      <c r="G58" s="250"/>
    </row>
    <row r="59" spans="1:10">
      <c r="A59" s="18" t="e">
        <f>IF(AND(A56="Aplica Comisión por Cancelación",I44&lt;=I50),"Aplica un 3% Comisión Cancelación","No Aplica Comisión por Cancelación")</f>
        <v>#REF!</v>
      </c>
      <c r="B59" s="18"/>
      <c r="C59" s="18"/>
      <c r="D59" s="18"/>
      <c r="E59" s="18"/>
      <c r="F59" s="18"/>
      <c r="G59" s="18"/>
    </row>
    <row r="63" spans="1:10" hidden="1">
      <c r="A63" s="249" t="s">
        <v>114</v>
      </c>
      <c r="B63" s="249"/>
      <c r="C63" s="249"/>
      <c r="D63" s="249"/>
      <c r="E63" s="249"/>
      <c r="F63" s="249"/>
      <c r="G63" s="249"/>
      <c r="H63" t="s">
        <v>123</v>
      </c>
    </row>
    <row r="64" spans="1:10" hidden="1">
      <c r="A64" s="2">
        <v>2.5000000000000001E-2</v>
      </c>
      <c r="B64" t="s">
        <v>7</v>
      </c>
    </row>
    <row r="65" spans="1:2" hidden="1">
      <c r="A65" s="2">
        <v>0.02</v>
      </c>
      <c r="B65" t="s">
        <v>8</v>
      </c>
    </row>
    <row r="66" spans="1:2" hidden="1"/>
    <row r="67" spans="1:2" hidden="1"/>
    <row r="68" spans="1:2" hidden="1">
      <c r="A68">
        <v>1</v>
      </c>
      <c r="B68" s="2">
        <v>2.5000000000000001E-2</v>
      </c>
    </row>
    <row r="69" spans="1:2" hidden="1">
      <c r="A69">
        <v>2</v>
      </c>
      <c r="B69" s="2">
        <v>2.5000000000000001E-2</v>
      </c>
    </row>
    <row r="70" spans="1:2" hidden="1">
      <c r="A70">
        <v>3</v>
      </c>
      <c r="B70" s="2">
        <v>2.5000000000000001E-2</v>
      </c>
    </row>
    <row r="71" spans="1:2" hidden="1">
      <c r="A71">
        <v>4</v>
      </c>
      <c r="B71" s="2">
        <v>2.5000000000000001E-2</v>
      </c>
    </row>
    <row r="72" spans="1:2" hidden="1">
      <c r="A72">
        <v>5</v>
      </c>
      <c r="B72" s="2">
        <v>2.5000000000000001E-2</v>
      </c>
    </row>
    <row r="73" spans="1:2" hidden="1">
      <c r="A73">
        <v>6</v>
      </c>
      <c r="B73" s="2">
        <v>2.5000000000000001E-2</v>
      </c>
    </row>
    <row r="74" spans="1:2" hidden="1">
      <c r="A74">
        <v>7</v>
      </c>
      <c r="B74" s="2">
        <v>2.5000000000000001E-2</v>
      </c>
    </row>
    <row r="75" spans="1:2" hidden="1">
      <c r="A75">
        <v>8</v>
      </c>
      <c r="B75" s="2">
        <v>2.5000000000000001E-2</v>
      </c>
    </row>
    <row r="76" spans="1:2" hidden="1">
      <c r="A76">
        <v>9</v>
      </c>
      <c r="B76" s="2">
        <v>2.5000000000000001E-2</v>
      </c>
    </row>
    <row r="77" spans="1:2" hidden="1">
      <c r="A77">
        <v>10</v>
      </c>
      <c r="B77" s="2">
        <v>2.5000000000000001E-2</v>
      </c>
    </row>
    <row r="78" spans="1:2" hidden="1">
      <c r="A78">
        <v>11</v>
      </c>
      <c r="B78" s="2">
        <v>2.5000000000000001E-2</v>
      </c>
    </row>
    <row r="79" spans="1:2" hidden="1">
      <c r="A79">
        <v>12</v>
      </c>
      <c r="B79" s="2">
        <v>2.5000000000000001E-2</v>
      </c>
    </row>
    <row r="80" spans="1:2" hidden="1">
      <c r="A80">
        <v>13</v>
      </c>
      <c r="B80" s="2">
        <v>0.02</v>
      </c>
    </row>
    <row r="81" spans="1:7" hidden="1">
      <c r="A81">
        <v>14</v>
      </c>
      <c r="B81" s="2">
        <v>0.02</v>
      </c>
    </row>
    <row r="82" spans="1:7" hidden="1">
      <c r="A82">
        <v>15</v>
      </c>
      <c r="B82" s="2">
        <v>0.02</v>
      </c>
    </row>
    <row r="83" spans="1:7" hidden="1">
      <c r="A83">
        <v>16</v>
      </c>
      <c r="B83" s="2">
        <v>0.02</v>
      </c>
    </row>
    <row r="84" spans="1:7" hidden="1">
      <c r="A84">
        <v>17</v>
      </c>
      <c r="B84" s="2">
        <v>0.02</v>
      </c>
    </row>
    <row r="85" spans="1:7" hidden="1">
      <c r="A85">
        <v>18</v>
      </c>
      <c r="B85" s="2">
        <v>0.02</v>
      </c>
    </row>
    <row r="86" spans="1:7" hidden="1">
      <c r="A86">
        <v>19</v>
      </c>
      <c r="B86" s="2">
        <v>0.02</v>
      </c>
    </row>
    <row r="87" spans="1:7" hidden="1">
      <c r="A87">
        <v>20</v>
      </c>
      <c r="B87" s="2">
        <v>0.02</v>
      </c>
    </row>
    <row r="88" spans="1:7" hidden="1">
      <c r="A88">
        <v>21</v>
      </c>
      <c r="B88" s="2">
        <v>0.02</v>
      </c>
    </row>
    <row r="89" spans="1:7" hidden="1">
      <c r="A89">
        <v>22</v>
      </c>
      <c r="B89" s="2">
        <v>0.02</v>
      </c>
    </row>
    <row r="90" spans="1:7" hidden="1">
      <c r="A90">
        <v>23</v>
      </c>
      <c r="B90" s="2">
        <v>0.02</v>
      </c>
    </row>
    <row r="91" spans="1:7" hidden="1">
      <c r="A91">
        <v>24</v>
      </c>
      <c r="B91" s="2">
        <v>0.02</v>
      </c>
    </row>
    <row r="93" spans="1:7">
      <c r="A93" s="154" t="s">
        <v>120</v>
      </c>
      <c r="B93" s="154"/>
      <c r="C93" s="154"/>
      <c r="D93" s="154"/>
      <c r="E93" s="154"/>
      <c r="F93" s="154"/>
      <c r="G93" s="154"/>
    </row>
    <row r="94" spans="1:7">
      <c r="A94" s="14">
        <v>43191</v>
      </c>
      <c r="B94" s="13" t="s">
        <v>18</v>
      </c>
    </row>
    <row r="95" spans="1:7">
      <c r="A95" s="1">
        <v>0.15</v>
      </c>
      <c r="B95" t="s">
        <v>6</v>
      </c>
    </row>
    <row r="96" spans="1:7">
      <c r="A96" s="2">
        <v>2.5000000000000001E-2</v>
      </c>
      <c r="B96" t="s">
        <v>7</v>
      </c>
    </row>
    <row r="97" spans="1:10">
      <c r="A97" s="2">
        <v>0.02</v>
      </c>
      <c r="B97" t="s">
        <v>8</v>
      </c>
    </row>
    <row r="99" spans="1:10">
      <c r="A99" s="249" t="s">
        <v>114</v>
      </c>
      <c r="B99" s="249"/>
      <c r="C99" s="249"/>
      <c r="D99" s="249"/>
      <c r="E99" s="249"/>
      <c r="F99" s="249"/>
      <c r="G99" s="249"/>
    </row>
    <row r="100" spans="1:10">
      <c r="A100" s="154" t="s">
        <v>17</v>
      </c>
      <c r="B100" s="154"/>
      <c r="C100" s="154"/>
      <c r="D100" s="154"/>
      <c r="E100" s="154"/>
      <c r="F100" s="154"/>
      <c r="G100" s="154"/>
    </row>
    <row r="101" spans="1:10">
      <c r="A101" t="e">
        <f>IF(#REF!=#REF!,"Cancelación","Abono")</f>
        <v>#REF!</v>
      </c>
    </row>
    <row r="103" spans="1:10">
      <c r="A103" s="154" t="s">
        <v>19</v>
      </c>
      <c r="B103" s="154"/>
      <c r="C103" s="154"/>
      <c r="D103" s="154"/>
      <c r="E103" s="154"/>
      <c r="F103" s="154"/>
      <c r="G103" s="154"/>
    </row>
    <row r="104" spans="1:10">
      <c r="A104" t="e">
        <f>IF(AND(A101="Abono",(#REF!&lt;A94)),"Abono sin Comisión","Abono con Comisión por Fecha")</f>
        <v>#REF!</v>
      </c>
    </row>
    <row r="105" spans="1:10">
      <c r="I105" s="13"/>
    </row>
    <row r="106" spans="1:10">
      <c r="A106" s="154" t="s">
        <v>20</v>
      </c>
      <c r="B106" s="154"/>
      <c r="C106" s="154"/>
      <c r="D106" s="154"/>
      <c r="E106" s="154"/>
      <c r="F106" s="154"/>
      <c r="G106" s="154"/>
      <c r="I106" s="15" t="s">
        <v>25</v>
      </c>
      <c r="J106" s="12"/>
    </row>
    <row r="107" spans="1:10">
      <c r="A107" t="e">
        <f>IF(AND(A104="Abono con Comisión por Fecha",#REF!&gt;=(#REF!*Premisas!A95)),"Abono con Comisión por 15% Capital Adeudado","No aplica comisión por 15% Capital Adeudado")</f>
        <v>#REF!</v>
      </c>
      <c r="I107" s="155" t="e">
        <f>DAYS360(#REF!,#REF!)</f>
        <v>#REF!</v>
      </c>
      <c r="J107" s="155"/>
    </row>
    <row r="108" spans="1:10">
      <c r="H108" s="13"/>
    </row>
    <row r="109" spans="1:10">
      <c r="A109" s="154" t="s">
        <v>24</v>
      </c>
      <c r="B109" s="154"/>
      <c r="C109" s="154"/>
      <c r="D109" s="154"/>
      <c r="E109" s="154"/>
      <c r="F109" s="154"/>
      <c r="G109" s="154"/>
      <c r="H109" s="13"/>
      <c r="I109" s="15" t="s">
        <v>26</v>
      </c>
      <c r="J109" s="12"/>
    </row>
    <row r="110" spans="1:10">
      <c r="A110" t="e">
        <f>IF(I107&gt;Premisas!I111,"No Aplica Comisión por Tiempo Transcurrido","Aplica Comisión por Tiempo Transcurrido")</f>
        <v>#REF!</v>
      </c>
      <c r="H110" s="13"/>
      <c r="I110" s="17">
        <f>360</f>
        <v>360</v>
      </c>
      <c r="J110" t="s">
        <v>22</v>
      </c>
    </row>
    <row r="111" spans="1:10">
      <c r="H111" s="13"/>
      <c r="I111" s="17">
        <f>360*2</f>
        <v>720</v>
      </c>
      <c r="J111" t="s">
        <v>23</v>
      </c>
    </row>
    <row r="112" spans="1:10">
      <c r="A112" s="154" t="s">
        <v>21</v>
      </c>
      <c r="B112" s="154"/>
      <c r="C112" s="154"/>
      <c r="D112" s="154"/>
      <c r="E112" s="154"/>
      <c r="F112" s="154"/>
      <c r="G112" s="154"/>
      <c r="H112" s="13"/>
      <c r="I112" s="17">
        <f>I110+30</f>
        <v>390</v>
      </c>
      <c r="J112" t="s">
        <v>30</v>
      </c>
    </row>
    <row r="113" spans="1:7">
      <c r="A113" t="e">
        <f>IF(AND(A101="Abono",A104="Abono con Comisión por Fecha",A107="Abono con Comisión por 15% Capital Adeudado",A110="Aplica Comisión por Tiempo Transcurrido"),"Verdadero","Falso")</f>
        <v>#REF!</v>
      </c>
    </row>
    <row r="115" spans="1:7">
      <c r="A115" s="154" t="s">
        <v>27</v>
      </c>
      <c r="B115" s="154"/>
      <c r="C115" s="154"/>
      <c r="D115" s="154"/>
      <c r="E115" s="154"/>
      <c r="F115" s="154"/>
      <c r="G115" s="154"/>
    </row>
    <row r="116" spans="1:7">
      <c r="A116" s="18" t="e">
        <f>IF(AND(A113="VERDADERO",(I107&lt;=I110)),"Aplica un 2.5% del Abono",IF(AND(A113="VERDADERO",(I107&lt;I111)),"Aplica un 2% del Abono","No Aplica Comisión por Abono"))</f>
        <v>#REF!</v>
      </c>
      <c r="B116" s="18"/>
      <c r="C116" s="18"/>
      <c r="D116" s="18"/>
      <c r="E116" s="18"/>
      <c r="F116" s="18"/>
      <c r="G116" s="18"/>
    </row>
    <row r="117" spans="1:7">
      <c r="A117" s="16"/>
      <c r="B117" s="16"/>
      <c r="C117" s="16"/>
      <c r="D117" s="16"/>
      <c r="E117" s="16"/>
      <c r="F117" s="16"/>
      <c r="G117" s="16"/>
    </row>
    <row r="118" spans="1:7">
      <c r="A118" s="154" t="s">
        <v>28</v>
      </c>
      <c r="B118" s="154"/>
      <c r="C118" s="154"/>
      <c r="D118" s="154"/>
      <c r="E118" s="154"/>
      <c r="F118" s="154"/>
      <c r="G118" s="154"/>
    </row>
    <row r="119" spans="1:7">
      <c r="A119" s="16" t="e">
        <f>IF(AND(A101="Cancelación",Premisas!I107&lt;I111),"Aplica Comisión por Cancelación","No Aplica Comisión por Cancelación")</f>
        <v>#REF!</v>
      </c>
      <c r="B119" s="16"/>
      <c r="C119" s="16"/>
      <c r="D119" s="16"/>
      <c r="E119" s="16"/>
      <c r="F119" s="16"/>
      <c r="G119" s="16"/>
    </row>
    <row r="120" spans="1:7">
      <c r="A120" s="16"/>
      <c r="B120" s="16"/>
      <c r="C120" s="16"/>
      <c r="D120" s="16"/>
      <c r="E120" s="16"/>
      <c r="F120" s="16"/>
      <c r="G120" s="16"/>
    </row>
    <row r="121" spans="1:7">
      <c r="A121" s="154" t="s">
        <v>29</v>
      </c>
      <c r="B121" s="154"/>
      <c r="C121" s="154"/>
      <c r="D121" s="154"/>
      <c r="E121" s="154"/>
      <c r="F121" s="154"/>
      <c r="G121" s="154"/>
    </row>
    <row r="122" spans="1:7">
      <c r="A122" s="18" t="e">
        <f>IF(AND(A119="Aplica Comisión por Cancelación",I107&lt;I112),"Aplica un 2.5% Comisión Cancelación",IF(AND(A119="Aplica Comisión por Cancelación",I107&lt;I111),"Aplica 2% Comisión Cancelación","No Aplica Comisión por Cancelación"))</f>
        <v>#REF!</v>
      </c>
      <c r="B122" s="18"/>
      <c r="C122" s="18"/>
      <c r="D122" s="18"/>
      <c r="E122" s="18"/>
      <c r="F122" s="18"/>
      <c r="G122" s="18"/>
    </row>
    <row r="126" spans="1:7">
      <c r="A126" t="s">
        <v>69</v>
      </c>
    </row>
    <row r="127" spans="1:7">
      <c r="A127" t="s">
        <v>121</v>
      </c>
    </row>
    <row r="128" spans="1:7">
      <c r="A128" t="s">
        <v>122</v>
      </c>
    </row>
  </sheetData>
  <mergeCells count="24">
    <mergeCell ref="I44:J44"/>
    <mergeCell ref="A1:G1"/>
    <mergeCell ref="A7:G7"/>
    <mergeCell ref="A12:G12"/>
    <mergeCell ref="A18:G18"/>
    <mergeCell ref="A15:G15"/>
    <mergeCell ref="I19:J19"/>
    <mergeCell ref="A27:G27"/>
    <mergeCell ref="A30:G30"/>
    <mergeCell ref="A33:G33"/>
    <mergeCell ref="A36:G36"/>
    <mergeCell ref="A24:G24"/>
    <mergeCell ref="A21:G21"/>
    <mergeCell ref="A99:G99"/>
    <mergeCell ref="A63:G63"/>
    <mergeCell ref="A58:G58"/>
    <mergeCell ref="A11:G11"/>
    <mergeCell ref="A52:G52"/>
    <mergeCell ref="A55:G55"/>
    <mergeCell ref="A37:G37"/>
    <mergeCell ref="A40:G40"/>
    <mergeCell ref="A43:G43"/>
    <mergeCell ref="A46:G46"/>
    <mergeCell ref="A49:G49"/>
  </mergeCells>
  <pageMargins left="0.7" right="0.7" top="0.75" bottom="0.75" header="0.3" footer="0.3"/>
  <pageSetup paperSize="9" orientation="portrait" r:id="rId1"/>
  <headerFooter>
    <oddFooter>&amp;C&amp;K0095D5Uso Interno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FC56"/>
  <sheetViews>
    <sheetView showGridLines="0" view="pageBreakPreview" topLeftCell="B1" zoomScaleNormal="100" zoomScaleSheetLayoutView="100" workbookViewId="0">
      <selection activeCell="B1" sqref="B1"/>
    </sheetView>
  </sheetViews>
  <sheetFormatPr baseColWidth="10" defaultColWidth="0" defaultRowHeight="14" zeroHeight="1"/>
  <cols>
    <col min="1" max="1" width="34.1796875" style="9" hidden="1" customWidth="1"/>
    <col min="2" max="2" width="2.81640625" style="53" customWidth="1"/>
    <col min="3" max="3" width="9.54296875" style="9" customWidth="1"/>
    <col min="4" max="4" width="9.453125" style="9" customWidth="1"/>
    <col min="5" max="5" width="1.81640625" style="9" bestFit="1" customWidth="1"/>
    <col min="6" max="6" width="27.81640625" style="9" customWidth="1"/>
    <col min="7" max="7" width="22.81640625" style="9" bestFit="1" customWidth="1"/>
    <col min="8" max="8" width="5.81640625" style="9" customWidth="1"/>
    <col min="9" max="9" width="20.81640625" style="9" customWidth="1"/>
    <col min="10" max="10" width="22.1796875" style="9" customWidth="1"/>
    <col min="11" max="11" width="2.81640625" style="9" customWidth="1"/>
    <col min="12" max="12" width="15.1796875" style="9" hidden="1"/>
    <col min="13" max="13" width="3.1796875" style="9" hidden="1"/>
    <col min="14" max="14" width="9.1796875" style="9" hidden="1"/>
    <col min="15" max="15" width="11.453125" style="9" hidden="1"/>
    <col min="16" max="16" width="20.1796875" style="38" hidden="1"/>
    <col min="17" max="16383" width="11.453125" style="9" hidden="1"/>
    <col min="16384" max="16384" width="14" style="9" hidden="1"/>
  </cols>
  <sheetData>
    <row r="1" spans="1:16">
      <c r="I1" s="37"/>
      <c r="J1" s="37"/>
      <c r="O1" s="9" t="s">
        <v>32</v>
      </c>
      <c r="P1" s="38">
        <v>4239910101050000</v>
      </c>
    </row>
    <row r="2" spans="1:16" ht="14.5" customHeight="1">
      <c r="I2" s="227" t="s">
        <v>124</v>
      </c>
      <c r="J2" s="227"/>
    </row>
    <row r="3" spans="1:16">
      <c r="I3" s="37"/>
      <c r="J3" s="37"/>
      <c r="O3" s="9" t="s">
        <v>33</v>
      </c>
      <c r="P3" s="38">
        <v>4239920101050000</v>
      </c>
    </row>
    <row r="4" spans="1:16">
      <c r="M4" s="39"/>
    </row>
    <row r="5" spans="1:16">
      <c r="M5" s="39"/>
    </row>
    <row r="6" spans="1:16">
      <c r="M6" s="39"/>
    </row>
    <row r="7" spans="1:16" ht="15" customHeight="1">
      <c r="B7" s="252" t="s">
        <v>53</v>
      </c>
      <c r="C7" s="252"/>
      <c r="D7" s="252"/>
      <c r="E7" s="252"/>
      <c r="F7" s="252"/>
      <c r="G7" s="252"/>
      <c r="H7" s="252"/>
      <c r="I7" s="252"/>
      <c r="J7" s="252"/>
      <c r="K7" s="40"/>
      <c r="L7" s="40"/>
      <c r="M7" s="39"/>
    </row>
    <row r="8" spans="1:16" ht="18">
      <c r="I8" s="143"/>
      <c r="J8" s="143"/>
      <c r="K8" s="143"/>
      <c r="L8" s="143"/>
      <c r="M8" s="39"/>
    </row>
    <row r="9" spans="1:16" s="49" customFormat="1" ht="18">
      <c r="B9" s="54"/>
      <c r="C9" s="41" t="s">
        <v>54</v>
      </c>
      <c r="D9" s="55"/>
      <c r="E9" s="42"/>
      <c r="F9" s="42"/>
      <c r="G9" s="42"/>
      <c r="H9" s="42"/>
      <c r="I9" s="143"/>
      <c r="J9" s="143"/>
      <c r="K9" s="143"/>
      <c r="L9" s="143"/>
      <c r="M9" s="42"/>
      <c r="P9" s="56"/>
    </row>
    <row r="10" spans="1:16" ht="6" customHeight="1">
      <c r="I10" s="143"/>
      <c r="J10" s="143"/>
      <c r="K10" s="143"/>
      <c r="L10" s="143"/>
    </row>
    <row r="11" spans="1:16" ht="56">
      <c r="A11" s="57" t="s">
        <v>55</v>
      </c>
      <c r="B11" s="58"/>
      <c r="C11" s="254" t="s">
        <v>56</v>
      </c>
      <c r="D11" s="255"/>
      <c r="E11" s="255"/>
      <c r="F11" s="256"/>
      <c r="G11" s="144" t="s">
        <v>55</v>
      </c>
      <c r="I11" s="146" t="s">
        <v>107</v>
      </c>
      <c r="J11" s="144" t="s">
        <v>108</v>
      </c>
      <c r="K11" s="143"/>
      <c r="L11" s="143"/>
    </row>
    <row r="12" spans="1:16" ht="18">
      <c r="A12" s="59">
        <v>0.9</v>
      </c>
      <c r="B12" s="60"/>
      <c r="C12" s="61" t="s">
        <v>57</v>
      </c>
      <c r="D12" s="62">
        <v>0.80100000000000005</v>
      </c>
      <c r="E12" s="63" t="s">
        <v>58</v>
      </c>
      <c r="F12" s="64">
        <v>1</v>
      </c>
      <c r="G12" s="65">
        <v>0.9</v>
      </c>
      <c r="I12" s="81" t="e">
        <f>G46</f>
        <v>#DIV/0!</v>
      </c>
      <c r="J12" s="147" t="e">
        <f>G48</f>
        <v>#DIV/0!</v>
      </c>
      <c r="K12" s="143"/>
      <c r="L12" s="143"/>
    </row>
    <row r="13" spans="1:16" ht="18">
      <c r="A13" s="66">
        <v>0.8</v>
      </c>
      <c r="B13" s="60"/>
      <c r="C13" s="61" t="s">
        <v>59</v>
      </c>
      <c r="D13" s="62">
        <v>0.501</v>
      </c>
      <c r="E13" s="62" t="s">
        <v>58</v>
      </c>
      <c r="F13" s="64">
        <v>0.8</v>
      </c>
      <c r="G13" s="67">
        <v>0.8</v>
      </c>
      <c r="I13" s="143"/>
      <c r="J13" s="143"/>
      <c r="K13" s="143"/>
      <c r="L13" s="143"/>
    </row>
    <row r="14" spans="1:16" ht="18">
      <c r="A14" s="66">
        <v>0.5</v>
      </c>
      <c r="B14" s="60"/>
      <c r="C14" s="61" t="s">
        <v>60</v>
      </c>
      <c r="D14" s="62">
        <v>0.20100000000000001</v>
      </c>
      <c r="E14" s="62" t="s">
        <v>58</v>
      </c>
      <c r="F14" s="64">
        <v>0.5</v>
      </c>
      <c r="G14" s="67">
        <v>0.5</v>
      </c>
      <c r="I14" s="143"/>
      <c r="J14" s="143"/>
      <c r="K14" s="143"/>
      <c r="L14" s="143"/>
    </row>
    <row r="15" spans="1:16" ht="18">
      <c r="A15" s="68">
        <v>0.3</v>
      </c>
      <c r="B15" s="60"/>
      <c r="C15" s="69" t="s">
        <v>61</v>
      </c>
      <c r="D15" s="70">
        <v>0</v>
      </c>
      <c r="E15" s="70" t="s">
        <v>58</v>
      </c>
      <c r="F15" s="71">
        <v>0.2</v>
      </c>
      <c r="G15" s="72">
        <v>0.3</v>
      </c>
      <c r="I15" s="143"/>
      <c r="J15" s="143"/>
      <c r="K15" s="143"/>
      <c r="L15" s="143"/>
    </row>
    <row r="16" spans="1:16" ht="14.25" customHeight="1">
      <c r="A16" s="66"/>
      <c r="B16" s="60"/>
      <c r="C16" s="257"/>
      <c r="D16" s="257"/>
      <c r="E16" s="257"/>
      <c r="F16" s="257"/>
      <c r="G16" s="257"/>
    </row>
    <row r="17" spans="1:12" ht="14.25" customHeight="1">
      <c r="A17" s="66"/>
      <c r="B17" s="60"/>
      <c r="C17" s="145"/>
      <c r="D17" s="145"/>
      <c r="E17" s="145"/>
      <c r="F17" s="145"/>
      <c r="G17" s="145"/>
    </row>
    <row r="18" spans="1:12" ht="14.25" customHeight="1">
      <c r="A18" s="66"/>
      <c r="B18" s="60"/>
      <c r="C18" s="145"/>
      <c r="D18" s="145"/>
      <c r="E18" s="145"/>
      <c r="F18" s="145"/>
      <c r="G18" s="145"/>
    </row>
    <row r="19" spans="1:12" ht="14.25" customHeight="1">
      <c r="A19" s="66"/>
      <c r="B19" s="60"/>
      <c r="C19" s="145"/>
      <c r="D19" s="145"/>
      <c r="E19" s="145"/>
      <c r="F19" s="145"/>
      <c r="G19" s="145"/>
    </row>
    <row r="20" spans="1:12" ht="14.25" customHeight="1">
      <c r="A20" s="66"/>
      <c r="B20" s="60"/>
      <c r="C20" s="145"/>
      <c r="D20" s="145"/>
      <c r="E20" s="145"/>
      <c r="F20" s="145"/>
      <c r="G20" s="145"/>
    </row>
    <row r="21" spans="1:12" ht="14.25" customHeight="1">
      <c r="A21" s="66"/>
      <c r="B21" s="60"/>
      <c r="C21" s="145"/>
      <c r="D21" s="145"/>
      <c r="E21" s="145"/>
      <c r="F21" s="145"/>
      <c r="G21" s="145"/>
    </row>
    <row r="22" spans="1:12" ht="15" customHeight="1">
      <c r="A22" s="66"/>
      <c r="B22" s="60"/>
      <c r="C22" s="145"/>
      <c r="D22" s="145"/>
      <c r="E22" s="145"/>
      <c r="F22" s="145"/>
      <c r="G22" s="145"/>
    </row>
    <row r="23" spans="1:12" ht="15" customHeight="1">
      <c r="A23" s="66"/>
      <c r="B23" s="60"/>
      <c r="C23" s="145"/>
      <c r="D23" s="145"/>
      <c r="E23" s="145"/>
      <c r="F23" s="145"/>
      <c r="G23" s="145"/>
    </row>
    <row r="24" spans="1:12" ht="15" customHeight="1">
      <c r="A24" s="66"/>
      <c r="B24" s="60"/>
      <c r="C24" s="145"/>
      <c r="D24" s="145"/>
      <c r="E24" s="145"/>
      <c r="F24" s="145"/>
      <c r="G24" s="145"/>
    </row>
    <row r="25" spans="1:12" ht="15" customHeight="1">
      <c r="A25" s="66"/>
      <c r="B25" s="60"/>
      <c r="C25" s="145"/>
      <c r="D25" s="145"/>
      <c r="E25" s="145"/>
      <c r="F25" s="145"/>
      <c r="G25" s="145"/>
    </row>
    <row r="26" spans="1:12" ht="14.25" customHeight="1">
      <c r="A26" s="66"/>
      <c r="B26" s="60"/>
      <c r="C26" s="145"/>
      <c r="D26" s="145"/>
      <c r="E26" s="145"/>
      <c r="F26" s="145"/>
      <c r="G26" s="145"/>
    </row>
    <row r="27" spans="1:12" ht="14.25" customHeight="1">
      <c r="A27" s="66"/>
      <c r="B27" s="60"/>
      <c r="C27" s="145"/>
      <c r="D27" s="145"/>
      <c r="E27" s="145"/>
      <c r="F27" s="145"/>
      <c r="G27" s="145"/>
    </row>
    <row r="28" spans="1:12" ht="14.25" customHeight="1">
      <c r="A28" s="66"/>
      <c r="B28" s="60"/>
      <c r="C28" s="145"/>
      <c r="D28" s="145"/>
      <c r="E28" s="145"/>
      <c r="F28" s="145"/>
      <c r="G28" s="145"/>
    </row>
    <row r="29" spans="1:12" ht="14.25" customHeight="1">
      <c r="A29" s="66"/>
      <c r="B29" s="60"/>
      <c r="C29" s="145"/>
      <c r="D29" s="145"/>
      <c r="E29" s="145"/>
      <c r="F29" s="145"/>
      <c r="G29" s="145"/>
    </row>
    <row r="30" spans="1:12" ht="15" customHeight="1">
      <c r="A30" s="66"/>
      <c r="B30" s="60"/>
      <c r="C30" s="145"/>
      <c r="D30" s="145"/>
      <c r="E30" s="145"/>
      <c r="F30" s="145"/>
      <c r="G30" s="145"/>
    </row>
    <row r="31" spans="1:12" ht="14.25" customHeight="1">
      <c r="A31" s="66"/>
      <c r="B31" s="60"/>
      <c r="C31" s="145"/>
      <c r="D31" s="145"/>
      <c r="E31" s="145"/>
      <c r="F31" s="145"/>
      <c r="G31" s="145"/>
    </row>
    <row r="32" spans="1:12" ht="15.5">
      <c r="C32" s="41" t="s">
        <v>105</v>
      </c>
      <c r="J32" s="42"/>
      <c r="K32" s="42"/>
      <c r="L32" s="49"/>
    </row>
    <row r="33" spans="3:17" ht="10.5" customHeight="1"/>
    <row r="34" spans="3:17" ht="15.75" customHeight="1">
      <c r="C34" s="258" t="s">
        <v>62</v>
      </c>
      <c r="D34" s="253"/>
      <c r="E34" s="253"/>
      <c r="F34" s="253"/>
      <c r="G34" s="253"/>
    </row>
    <row r="35" spans="3:17" ht="14.25" customHeight="1">
      <c r="C35" s="73" t="s">
        <v>63</v>
      </c>
      <c r="D35" s="259" t="s">
        <v>42</v>
      </c>
      <c r="E35" s="259"/>
      <c r="F35" s="259"/>
      <c r="G35" s="74">
        <f>DPF!E25</f>
        <v>0</v>
      </c>
    </row>
    <row r="36" spans="3:17">
      <c r="C36" s="73" t="s">
        <v>64</v>
      </c>
      <c r="D36" s="259" t="s">
        <v>65</v>
      </c>
      <c r="E36" s="259"/>
      <c r="F36" s="259"/>
      <c r="G36" s="75">
        <f>DPF!E27</f>
        <v>0</v>
      </c>
    </row>
    <row r="37" spans="3:17" ht="15.75" customHeight="1">
      <c r="C37" s="73" t="s">
        <v>66</v>
      </c>
      <c r="D37" s="260" t="s">
        <v>67</v>
      </c>
      <c r="E37" s="260"/>
      <c r="F37" s="260"/>
      <c r="G37" s="76">
        <f>DPF!E29</f>
        <v>0</v>
      </c>
    </row>
    <row r="38" spans="3:17" ht="14.25" customHeight="1">
      <c r="C38" s="73" t="s">
        <v>68</v>
      </c>
      <c r="D38" s="259" t="s">
        <v>44</v>
      </c>
      <c r="E38" s="259"/>
      <c r="F38" s="259"/>
      <c r="G38" s="77">
        <f>DPF!E30</f>
        <v>0</v>
      </c>
    </row>
    <row r="39" spans="3:17">
      <c r="C39" s="73"/>
      <c r="D39" s="259" t="s">
        <v>69</v>
      </c>
      <c r="E39" s="259"/>
      <c r="F39" s="259"/>
      <c r="G39" s="77" t="str">
        <f>DPF!C68</f>
        <v>DOP</v>
      </c>
    </row>
    <row r="40" spans="3:17" ht="16.5" customHeight="1">
      <c r="C40" s="73"/>
      <c r="D40" s="260" t="s">
        <v>70</v>
      </c>
      <c r="E40" s="260"/>
      <c r="F40" s="260"/>
      <c r="G40" s="78">
        <f>DPF!C70</f>
        <v>4239910101050000</v>
      </c>
    </row>
    <row r="41" spans="3:17" ht="14.25" customHeight="1">
      <c r="K41" s="39"/>
    </row>
    <row r="42" spans="3:17">
      <c r="C42" s="51" t="s">
        <v>106</v>
      </c>
      <c r="K42" s="39"/>
    </row>
    <row r="43" spans="3:17" ht="11.25" customHeight="1"/>
    <row r="44" spans="3:17" ht="42.75" customHeight="1">
      <c r="C44" s="258" t="s">
        <v>71</v>
      </c>
      <c r="D44" s="253"/>
      <c r="E44" s="253"/>
      <c r="F44" s="253"/>
      <c r="G44" s="253"/>
      <c r="H44" s="253" t="s">
        <v>72</v>
      </c>
      <c r="I44" s="253"/>
      <c r="J44" s="253"/>
      <c r="M44" s="48"/>
    </row>
    <row r="45" spans="3:17" ht="14.25" customHeight="1">
      <c r="C45" s="79" t="s">
        <v>73</v>
      </c>
      <c r="D45" s="261" t="s">
        <v>74</v>
      </c>
      <c r="E45" s="261"/>
      <c r="F45" s="261"/>
      <c r="G45" s="80">
        <f>+G36-G37</f>
        <v>0</v>
      </c>
      <c r="H45" s="262" t="s">
        <v>75</v>
      </c>
      <c r="I45" s="262"/>
      <c r="J45" s="262"/>
      <c r="Q45" s="9" t="s">
        <v>76</v>
      </c>
    </row>
    <row r="46" spans="3:17">
      <c r="C46" s="79" t="s">
        <v>77</v>
      </c>
      <c r="D46" s="261" t="s">
        <v>78</v>
      </c>
      <c r="E46" s="261"/>
      <c r="F46" s="261"/>
      <c r="G46" s="81" t="e">
        <f>+(G36-G37)/G36</f>
        <v>#DIV/0!</v>
      </c>
      <c r="H46" s="262" t="s">
        <v>79</v>
      </c>
      <c r="I46" s="262"/>
      <c r="J46" s="262"/>
      <c r="Q46" s="9" t="s">
        <v>80</v>
      </c>
    </row>
    <row r="47" spans="3:17">
      <c r="C47" s="79" t="s">
        <v>81</v>
      </c>
      <c r="D47" s="261" t="s">
        <v>82</v>
      </c>
      <c r="E47" s="261"/>
      <c r="F47" s="261"/>
      <c r="G47" s="82" t="e">
        <f>VLOOKUP(G48,A12:C15,3,0)</f>
        <v>#DIV/0!</v>
      </c>
      <c r="H47" s="261"/>
      <c r="I47" s="261"/>
      <c r="J47" s="261"/>
      <c r="Q47" s="9" t="s">
        <v>83</v>
      </c>
    </row>
    <row r="48" spans="3:17">
      <c r="C48" s="79" t="s">
        <v>84</v>
      </c>
      <c r="D48" s="261" t="s">
        <v>85</v>
      </c>
      <c r="E48" s="261"/>
      <c r="F48" s="261"/>
      <c r="G48" s="81" t="e">
        <f>IF(G46&gt;$D$12,$G$12,IF(G46&gt;$D$13,$G$13,IF(G46&gt;$D$14,$G$14,IF(G46&gt;$D$15,$G$15,0))))</f>
        <v>#DIV/0!</v>
      </c>
      <c r="H48" s="261"/>
      <c r="I48" s="261"/>
      <c r="J48" s="261"/>
    </row>
    <row r="49" spans="3:11">
      <c r="C49" s="79" t="s">
        <v>86</v>
      </c>
      <c r="D49" s="261" t="s">
        <v>87</v>
      </c>
      <c r="E49" s="261"/>
      <c r="F49" s="261"/>
      <c r="G49" s="81" t="e">
        <f>(1-G48)*G38</f>
        <v>#DIV/0!</v>
      </c>
      <c r="H49" s="262" t="s">
        <v>88</v>
      </c>
      <c r="I49" s="262"/>
      <c r="J49" s="262"/>
    </row>
    <row r="50" spans="3:11" ht="26.25" customHeight="1">
      <c r="C50" s="83" t="s">
        <v>89</v>
      </c>
      <c r="D50" s="267" t="str">
        <f>"Intereses acumulados a "&amp;G37&amp;" días"</f>
        <v>Intereses acumulados a 0 días</v>
      </c>
      <c r="E50" s="267"/>
      <c r="F50" s="267"/>
      <c r="G50" s="84">
        <f>+G38*G35*G37/360</f>
        <v>0</v>
      </c>
      <c r="H50" s="261"/>
      <c r="I50" s="261"/>
      <c r="J50" s="261"/>
    </row>
    <row r="51" spans="3:11" ht="30.75" customHeight="1">
      <c r="C51" s="79" t="s">
        <v>90</v>
      </c>
      <c r="D51" s="260" t="s">
        <v>91</v>
      </c>
      <c r="E51" s="260"/>
      <c r="F51" s="260"/>
      <c r="G51" s="84" t="e">
        <f>+G50*G48</f>
        <v>#DIV/0!</v>
      </c>
      <c r="H51" s="262" t="s">
        <v>92</v>
      </c>
      <c r="I51" s="262"/>
      <c r="J51" s="262"/>
    </row>
    <row r="52" spans="3:11" ht="15" customHeight="1">
      <c r="C52" s="85"/>
      <c r="D52" s="263" t="s">
        <v>93</v>
      </c>
      <c r="E52" s="264"/>
      <c r="F52" s="265"/>
      <c r="G52" s="86" t="e">
        <f>(G35+G50-G51)-IF(DPF!E20="Crédito a cuenta",DPF!#REF!,0)</f>
        <v>#DIV/0!</v>
      </c>
      <c r="H52" s="266" t="s">
        <v>94</v>
      </c>
      <c r="I52" s="266"/>
      <c r="J52" s="266"/>
    </row>
    <row r="53" spans="3:11">
      <c r="K53" s="48"/>
    </row>
    <row r="54" spans="3:11" hidden="1">
      <c r="K54" s="48"/>
    </row>
    <row r="55" spans="3:11" hidden="1"/>
    <row r="56" spans="3:11" hidden="1">
      <c r="K56" s="48"/>
    </row>
  </sheetData>
  <sheetProtection algorithmName="SHA-512" hashValue="MBRIVdjbWPbpTbWRLrlGuIyAZ1mF/a6Rg0HyBfOvReccBlqgIBDD9LgGE7mibXG+ZoAe36TXZwJM/dpEAaEtFQ==" saltValue="FRSiiMiop15MBws1ZeNzhQ==" spinCount="100000" sheet="1" formatCells="0" formatColumns="0" formatRows="0"/>
  <mergeCells count="29">
    <mergeCell ref="D51:F51"/>
    <mergeCell ref="H51:J51"/>
    <mergeCell ref="D52:F52"/>
    <mergeCell ref="H52:J52"/>
    <mergeCell ref="D48:F48"/>
    <mergeCell ref="H48:J48"/>
    <mergeCell ref="D49:F49"/>
    <mergeCell ref="H49:J49"/>
    <mergeCell ref="D50:F50"/>
    <mergeCell ref="H50:J50"/>
    <mergeCell ref="D45:F45"/>
    <mergeCell ref="H45:J45"/>
    <mergeCell ref="D46:F46"/>
    <mergeCell ref="H46:J46"/>
    <mergeCell ref="D47:F47"/>
    <mergeCell ref="H47:J47"/>
    <mergeCell ref="I2:J2"/>
    <mergeCell ref="B7:J7"/>
    <mergeCell ref="H44:J44"/>
    <mergeCell ref="C11:F11"/>
    <mergeCell ref="C16:G16"/>
    <mergeCell ref="C34:G34"/>
    <mergeCell ref="D35:F35"/>
    <mergeCell ref="D36:F36"/>
    <mergeCell ref="D37:F37"/>
    <mergeCell ref="D38:F38"/>
    <mergeCell ref="D39:F39"/>
    <mergeCell ref="D40:F40"/>
    <mergeCell ref="C44:G44"/>
  </mergeCells>
  <dataValidations count="1">
    <dataValidation type="list" allowBlank="1" showInputMessage="1" showErrorMessage="1" sqref="G39">
      <formula1>$O$1:$O$3</formula1>
    </dataValidation>
  </dataValidations>
  <pageMargins left="0.7" right="0.7" top="0.75" bottom="0.75" header="0.3" footer="0.3"/>
  <pageSetup scale="70" orientation="portrait" r:id="rId1"/>
  <headerFooter>
    <oddFooter>&amp;C&amp;K0095D5Uso Interno</oddFooter>
  </headerFooter>
  <colBreaks count="1" manualBreakCount="1">
    <brk id="11" max="52" man="1"/>
  </colBreaks>
  <ignoredErrors>
    <ignoredError sqref="C12:C1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/>
  </sheetViews>
  <sheetFormatPr baseColWidth="10" defaultRowHeight="14.5"/>
  <cols>
    <col min="1" max="1" width="14.6328125" bestFit="1" customWidth="1"/>
    <col min="3" max="3" width="18.453125" bestFit="1" customWidth="1"/>
    <col min="5" max="5" width="11.6328125" bestFit="1" customWidth="1"/>
    <col min="7" max="7" width="47.26953125" bestFit="1" customWidth="1"/>
  </cols>
  <sheetData>
    <row r="1" spans="1:7">
      <c r="A1" t="s">
        <v>69</v>
      </c>
      <c r="C1" t="s">
        <v>1</v>
      </c>
      <c r="E1" t="s">
        <v>133</v>
      </c>
      <c r="G1" t="s">
        <v>149</v>
      </c>
    </row>
    <row r="2" spans="1:7">
      <c r="A2" t="s">
        <v>127</v>
      </c>
      <c r="C2" t="s">
        <v>127</v>
      </c>
      <c r="E2" t="s">
        <v>127</v>
      </c>
      <c r="G2" t="s">
        <v>127</v>
      </c>
    </row>
    <row r="3" spans="1:7">
      <c r="A3" t="s">
        <v>32</v>
      </c>
      <c r="C3" t="s">
        <v>134</v>
      </c>
      <c r="E3" t="s">
        <v>101</v>
      </c>
      <c r="G3" t="s">
        <v>150</v>
      </c>
    </row>
    <row r="4" spans="1:7">
      <c r="A4" t="s">
        <v>33</v>
      </c>
      <c r="C4" t="s">
        <v>135</v>
      </c>
      <c r="E4" t="s">
        <v>102</v>
      </c>
      <c r="G4" t="s">
        <v>151</v>
      </c>
    </row>
    <row r="5" spans="1:7">
      <c r="C5" t="s">
        <v>136</v>
      </c>
    </row>
    <row r="6" spans="1:7">
      <c r="A6" t="s">
        <v>128</v>
      </c>
    </row>
    <row r="7" spans="1:7">
      <c r="A7" t="s">
        <v>127</v>
      </c>
      <c r="C7" t="s">
        <v>137</v>
      </c>
      <c r="D7" t="s">
        <v>138</v>
      </c>
    </row>
    <row r="8" spans="1:7">
      <c r="A8">
        <v>12</v>
      </c>
      <c r="C8">
        <v>24</v>
      </c>
      <c r="D8" s="1">
        <v>0.05</v>
      </c>
    </row>
    <row r="9" spans="1:7">
      <c r="A9">
        <v>24</v>
      </c>
      <c r="C9">
        <v>36</v>
      </c>
      <c r="D9" s="1">
        <v>0.04</v>
      </c>
    </row>
    <row r="10" spans="1:7">
      <c r="A10">
        <v>36</v>
      </c>
      <c r="C10">
        <v>48</v>
      </c>
      <c r="D10" s="1">
        <v>0.03</v>
      </c>
    </row>
    <row r="11" spans="1:7">
      <c r="A11">
        <v>48</v>
      </c>
      <c r="C11">
        <v>60</v>
      </c>
      <c r="D11" s="1">
        <v>0.02</v>
      </c>
    </row>
    <row r="12" spans="1:7">
      <c r="A12">
        <v>60</v>
      </c>
      <c r="C12">
        <v>60</v>
      </c>
      <c r="D12" s="1">
        <v>0</v>
      </c>
    </row>
    <row r="13" spans="1:7">
      <c r="A13">
        <v>72</v>
      </c>
    </row>
    <row r="14" spans="1:7">
      <c r="A14">
        <v>84</v>
      </c>
      <c r="C14" s="190" t="s">
        <v>139</v>
      </c>
      <c r="E14" s="190" t="s">
        <v>143</v>
      </c>
    </row>
    <row r="15" spans="1:7">
      <c r="A15">
        <v>96</v>
      </c>
      <c r="C15" s="188" t="s">
        <v>127</v>
      </c>
      <c r="E15" s="188" t="s">
        <v>127</v>
      </c>
    </row>
    <row r="16" spans="1:7">
      <c r="A16">
        <v>108</v>
      </c>
      <c r="C16" s="189" t="s">
        <v>96</v>
      </c>
      <c r="E16" s="189" t="s">
        <v>144</v>
      </c>
    </row>
    <row r="17" spans="1:5">
      <c r="A17">
        <v>120</v>
      </c>
      <c r="C17" s="191" t="s">
        <v>140</v>
      </c>
      <c r="E17" s="191" t="s">
        <v>145</v>
      </c>
    </row>
    <row r="18" spans="1:5">
      <c r="A18">
        <v>132</v>
      </c>
    </row>
    <row r="19" spans="1:5">
      <c r="A19">
        <v>144</v>
      </c>
      <c r="C19" s="190" t="s">
        <v>141</v>
      </c>
    </row>
    <row r="20" spans="1:5">
      <c r="A20">
        <v>156</v>
      </c>
      <c r="C20" s="188" t="s">
        <v>127</v>
      </c>
    </row>
    <row r="21" spans="1:5">
      <c r="A21">
        <v>168</v>
      </c>
      <c r="C21" s="189" t="s">
        <v>142</v>
      </c>
    </row>
    <row r="22" spans="1:5">
      <c r="A22">
        <v>180</v>
      </c>
      <c r="C22" s="191" t="s">
        <v>146</v>
      </c>
    </row>
    <row r="23" spans="1:5">
      <c r="A23">
        <v>192</v>
      </c>
    </row>
    <row r="24" spans="1:5">
      <c r="A24">
        <v>204</v>
      </c>
    </row>
    <row r="25" spans="1:5">
      <c r="A25">
        <v>216</v>
      </c>
    </row>
    <row r="26" spans="1:5">
      <c r="A26">
        <v>228</v>
      </c>
    </row>
    <row r="27" spans="1:5">
      <c r="A27">
        <v>240</v>
      </c>
    </row>
    <row r="28" spans="1:5">
      <c r="A28">
        <v>252</v>
      </c>
    </row>
    <row r="29" spans="1:5">
      <c r="A29">
        <v>264</v>
      </c>
    </row>
    <row r="30" spans="1:5">
      <c r="A30">
        <v>276</v>
      </c>
    </row>
    <row r="31" spans="1:5">
      <c r="A31">
        <v>288</v>
      </c>
    </row>
    <row r="32" spans="1:5">
      <c r="A32">
        <v>300</v>
      </c>
    </row>
  </sheetData>
  <sheetProtection algorithmName="SHA-512" hashValue="RZV6QVR+foV4sYD5aiwpxKPBx2W1IwlJSHQOZulhOeDE0XiirA2c+40AaaQsdFtS31xcgVhTDUi4soFVEYsA9w==" saltValue="yPTk8V4rl4pe5yvg7v0B/g==" spinCount="100000" sheet="1" objects="1" scenarios="1" selectLockedCells="1" selectUnlockedCells="1"/>
  <pageMargins left="0.7" right="0.7" top="0.75" bottom="0.75" header="0.3" footer="0.3"/>
  <pageSetup orientation="portrait" horizontalDpi="4294967294" verticalDpi="4294967294" r:id="rId1"/>
  <headerFooter>
    <oddFooter>&amp;C&amp;K0095D5Uso Interno</oddFooter>
  </headerFooter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COMERCIAL(nouso)</vt:lpstr>
      <vt:lpstr>Préstamos</vt:lpstr>
      <vt:lpstr>DPF</vt:lpstr>
      <vt:lpstr>Premisas</vt:lpstr>
      <vt:lpstr>Tabla de Penalización DPF</vt:lpstr>
      <vt:lpstr>Listados</vt:lpstr>
      <vt:lpstr>'COMERCIAL(nouso)'!Área_de_impresión</vt:lpstr>
      <vt:lpstr>DPF!Área_de_impresión</vt:lpstr>
      <vt:lpstr>Préstamos!Área_de_impresión</vt:lpstr>
      <vt:lpstr>'Tabla de Penalización DPF'!Área_de_impresión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Del Carmen Escoto Moll</dc:creator>
  <cp:lastModifiedBy>Albert Norimichi Gomez Kato</cp:lastModifiedBy>
  <cp:lastPrinted>2024-02-16T16:34:15Z</cp:lastPrinted>
  <dcterms:created xsi:type="dcterms:W3CDTF">2006-09-16T00:00:00Z</dcterms:created>
  <dcterms:modified xsi:type="dcterms:W3CDTF">2025-11-19T22:00:48Z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6d1875a3-c5da-41f9-984d-ee740ac525c4</vt:lpwstr>
  </property>
  <property fmtid="{D5CDD505-2E9C-101B-9397-08002B2CF9AE}" pid="3" name="TitusGUID">
    <vt:lpwstr>e91ea99b-21a9-4fc1-8562-aff4f9dabac6</vt:lpwstr>
  </property>
  <property fmtid="{D5CDD505-2E9C-101B-9397-08002B2CF9AE}" pid="4" name="BBMClassification">
    <vt:lpwstr>Uso Interno</vt:lpwstr>
  </property>
</Properties>
</file>